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25" windowHeight="8550" activeTab="0"/>
  </bookViews>
  <sheets>
    <sheet name="まとめ" sheetId="1" r:id="rId1"/>
    <sheet name="東北" sheetId="2" r:id="rId2"/>
    <sheet name="西日本" sheetId="3" r:id="rId3"/>
    <sheet name="東日本" sheetId="4" r:id="rId4"/>
  </sheets>
  <definedNames>
    <definedName name="solver_adj" localSheetId="2" hidden="1">'西日本'!$AW$5:$AW$85</definedName>
    <definedName name="solver_adj" localSheetId="3" hidden="1">'東日本'!$AU$5:$AU$138</definedName>
    <definedName name="solver_adj" localSheetId="1" hidden="1">'東北'!$S$2:$S$34</definedName>
    <definedName name="solver_cvg" localSheetId="2" hidden="1">0.000001</definedName>
    <definedName name="solver_cvg" localSheetId="3" hidden="1">0.000001</definedName>
    <definedName name="solver_cvg" localSheetId="1" hidden="1">0.001</definedName>
    <definedName name="solver_drv" localSheetId="2" hidden="1">1</definedName>
    <definedName name="solver_drv" localSheetId="3" hidden="1">1</definedName>
    <definedName name="solver_drv" localSheetId="1" hidden="1">1</definedName>
    <definedName name="solver_est" localSheetId="2" hidden="1">1</definedName>
    <definedName name="solver_est" localSheetId="3" hidden="1">1</definedName>
    <definedName name="solver_est" localSheetId="1" hidden="1">1</definedName>
    <definedName name="solver_itr" localSheetId="2" hidden="1">600</definedName>
    <definedName name="solver_itr" localSheetId="3" hidden="1">600</definedName>
    <definedName name="solver_itr" localSheetId="1" hidden="1">1000</definedName>
    <definedName name="solver_lhs1" localSheetId="2" hidden="1">'西日本'!$AW$5:$AW$85</definedName>
    <definedName name="solver_lhs1" localSheetId="3" hidden="1">'東日本'!$BF$72</definedName>
    <definedName name="solver_lhs1" localSheetId="1" hidden="1">'東北'!$S$2:$S$34</definedName>
    <definedName name="solver_lhs10" localSheetId="2" hidden="1">'西日本'!$M$32</definedName>
    <definedName name="solver_lhs10" localSheetId="3" hidden="1">'東日本'!$BM$71</definedName>
    <definedName name="solver_lhs10" localSheetId="1" hidden="1">'東北'!$H$40</definedName>
    <definedName name="solver_lhs11" localSheetId="2" hidden="1">'西日本'!$M$33</definedName>
    <definedName name="solver_lhs11" localSheetId="3" hidden="1">'東日本'!$AU$5:$AU$138</definedName>
    <definedName name="solver_lhs11" localSheetId="1" hidden="1">'東北'!$AK$6</definedName>
    <definedName name="solver_lhs12" localSheetId="2" hidden="1">'西日本'!$M$34</definedName>
    <definedName name="solver_lhs12" localSheetId="3" hidden="1">'東日本'!$Z$47</definedName>
    <definedName name="solver_lhs12" localSheetId="1" hidden="1">'東北'!#REF!</definedName>
    <definedName name="solver_lhs13" localSheetId="2" hidden="1">'西日本'!#REF!</definedName>
    <definedName name="solver_lhs13" localSheetId="3" hidden="1">'東日本'!$BF$34</definedName>
    <definedName name="solver_lhs13" localSheetId="1" hidden="1">'東北'!$H$41</definedName>
    <definedName name="solver_lhs14" localSheetId="2" hidden="1">'西日本'!#REF!</definedName>
    <definedName name="solver_lhs14" localSheetId="3" hidden="1">'東日本'!$AE$36:$AE$37</definedName>
    <definedName name="solver_lhs14" localSheetId="1" hidden="1">'東北'!$H$41</definedName>
    <definedName name="solver_lhs15" localSheetId="2" hidden="1">'西日本'!#REF!</definedName>
    <definedName name="solver_lhs15" localSheetId="3" hidden="1">'東日本'!$Z$39:$Z$45</definedName>
    <definedName name="solver_lhs15" localSheetId="1" hidden="1">'東北'!#REF!</definedName>
    <definedName name="solver_lhs16" localSheetId="2" hidden="1">'西日本'!#REF!</definedName>
    <definedName name="solver_lhs16" localSheetId="3" hidden="1">'東日本'!$Z$45</definedName>
    <definedName name="solver_lhs16" localSheetId="1" hidden="1">'東北'!$H$37</definedName>
    <definedName name="solver_lhs17" localSheetId="2" hidden="1">'西日本'!$M$31</definedName>
    <definedName name="solver_lhs17" localSheetId="3" hidden="1">'東日本'!$Z$36:$Z$38</definedName>
    <definedName name="solver_lhs17" localSheetId="1" hidden="1">'東北'!$D$35</definedName>
    <definedName name="solver_lhs18" localSheetId="2" hidden="1">'西日本'!#REF!</definedName>
    <definedName name="solver_lhs18" localSheetId="3" hidden="1">'東日本'!$Z$37</definedName>
    <definedName name="solver_lhs18" localSheetId="1" hidden="1">'東北'!$S$2:$S$34</definedName>
    <definedName name="solver_lhs19" localSheetId="2" hidden="1">'西日本'!$M$32</definedName>
    <definedName name="solver_lhs19" localSheetId="3" hidden="1">'東日本'!$AU$35:$AU$36</definedName>
    <definedName name="solver_lhs19" localSheetId="1" hidden="1">'東北'!$H$38</definedName>
    <definedName name="solver_lhs2" localSheetId="2" hidden="1">'西日本'!$AW$5:$AW$85</definedName>
    <definedName name="solver_lhs2" localSheetId="3" hidden="1">'東日本'!$BM$74</definedName>
    <definedName name="solver_lhs2" localSheetId="1" hidden="1">'東北'!$S$2:$S$34</definedName>
    <definedName name="solver_lhs20" localSheetId="2" hidden="1">'西日本'!$Q$26</definedName>
    <definedName name="solver_lhs20" localSheetId="3" hidden="1">'東日本'!$AU$32:$AU$33</definedName>
    <definedName name="solver_lhs20" localSheetId="1" hidden="1">'東北'!$H$39</definedName>
    <definedName name="solver_lhs21" localSheetId="2" hidden="1">'西日本'!$N$36</definedName>
    <definedName name="solver_lhs21" localSheetId="3" hidden="1">'東日本'!$AU$35:$AU$36</definedName>
    <definedName name="solver_lhs21" localSheetId="1" hidden="1">'東北'!$H$40</definedName>
    <definedName name="solver_lhs22" localSheetId="3" hidden="1">'東日本'!$AU$40:$AU$45</definedName>
    <definedName name="solver_lhs22" localSheetId="1" hidden="1">'東北'!$H$41</definedName>
    <definedName name="solver_lhs23" localSheetId="3" hidden="1">'東日本'!$AU$47:$AU$48</definedName>
    <definedName name="solver_lhs23" localSheetId="1" hidden="1">'東北'!$D$39</definedName>
    <definedName name="solver_lhs24" localSheetId="3" hidden="1">'東日本'!$AU$50:$AU$54</definedName>
    <definedName name="solver_lhs24" localSheetId="1" hidden="1">'東北'!$D$40</definedName>
    <definedName name="solver_lhs25" localSheetId="3" hidden="1">'東日本'!$AU$56:$AU$57</definedName>
    <definedName name="solver_lhs26" localSheetId="3" hidden="1">'東日本'!$AU$61</definedName>
    <definedName name="solver_lhs27" localSheetId="3" hidden="1">'東日本'!$AU$64</definedName>
    <definedName name="solver_lhs28" localSheetId="3" hidden="1">'東日本'!$AU$66:$AU$74</definedName>
    <definedName name="solver_lhs29" localSheetId="3" hidden="1">'東日本'!$AU$84:$AU$87</definedName>
    <definedName name="solver_lhs3" localSheetId="2" hidden="1">'西日本'!$BJ$2:$BJ$52</definedName>
    <definedName name="solver_lhs3" localSheetId="3" hidden="1">'東日本'!$BI$2:$BI$83</definedName>
    <definedName name="solver_lhs3" localSheetId="1" hidden="1">'東北'!$AG$3:$AG$21</definedName>
    <definedName name="solver_lhs30" localSheetId="3" hidden="1">'東日本'!$AU$81:$AU$82</definedName>
    <definedName name="solver_lhs31" localSheetId="3" hidden="1">'東日本'!$AU$84:$AU$87</definedName>
    <definedName name="solver_lhs32" localSheetId="3" hidden="1">'東日本'!$AU$89:$AU$138</definedName>
    <definedName name="solver_lhs4" localSheetId="2" hidden="1">'西日本'!$BJ$53</definedName>
    <definedName name="solver_lhs4" localSheetId="3" hidden="1">'東日本'!$AU$5:$AU$138</definedName>
    <definedName name="solver_lhs4" localSheetId="1" hidden="1">'東北'!$AG$2</definedName>
    <definedName name="solver_lhs5" localSheetId="2" hidden="1">'西日本'!$BK$2:$BM$52</definedName>
    <definedName name="solver_lhs5" localSheetId="3" hidden="1">'東日本'!$BF$34</definedName>
    <definedName name="solver_lhs5" localSheetId="1" hidden="1">'東北'!$AH$3:$AJ$21</definedName>
    <definedName name="solver_lhs6" localSheetId="2" hidden="1">'西日本'!$M$25:$M$26</definedName>
    <definedName name="solver_lhs6" localSheetId="3" hidden="1">'東日本'!$BJ$2:$BL$83</definedName>
    <definedName name="solver_lhs6" localSheetId="1" hidden="1">'東北'!$G$37:$G$42</definedName>
    <definedName name="solver_lhs7" localSheetId="2" hidden="1">'西日本'!$M$33</definedName>
    <definedName name="solver_lhs7" localSheetId="3" hidden="1">'東日本'!$BM$9</definedName>
    <definedName name="solver_lhs7" localSheetId="1" hidden="1">'東北'!$H$41</definedName>
    <definedName name="solver_lhs8" localSheetId="2" hidden="1">'西日本'!$M$32</definedName>
    <definedName name="solver_lhs8" localSheetId="3" hidden="1">'東日本'!$BM$12</definedName>
    <definedName name="solver_lhs8" localSheetId="1" hidden="1">'東北'!$H$40</definedName>
    <definedName name="solver_lhs9" localSheetId="2" hidden="1">'西日本'!$M$31</definedName>
    <definedName name="solver_lhs9" localSheetId="3" hidden="1">'東日本'!$BM$67</definedName>
    <definedName name="solver_lhs9" localSheetId="1" hidden="1">'東北'!$H$41</definedName>
    <definedName name="solver_lin" localSheetId="2" hidden="1">1</definedName>
    <definedName name="solver_lin" localSheetId="3" hidden="1">1</definedName>
    <definedName name="solver_lin" localSheetId="1" hidden="1">1</definedName>
    <definedName name="solver_neg" localSheetId="2" hidden="1">1</definedName>
    <definedName name="solver_neg" localSheetId="3" hidden="1">1</definedName>
    <definedName name="solver_neg" localSheetId="1" hidden="1">1</definedName>
    <definedName name="solver_num" localSheetId="2" hidden="1">6</definedName>
    <definedName name="solver_num" localSheetId="3" hidden="1">11</definedName>
    <definedName name="solver_num" localSheetId="1" hidden="1">6</definedName>
    <definedName name="solver_nwt" localSheetId="2" hidden="1">1</definedName>
    <definedName name="solver_nwt" localSheetId="3" hidden="1">1</definedName>
    <definedName name="solver_nwt" localSheetId="1" hidden="1">1</definedName>
    <definedName name="solver_opt" localSheetId="2" hidden="1">'西日本'!$AX$87</definedName>
    <definedName name="solver_opt" localSheetId="3" hidden="1">'東日本'!$AV$143</definedName>
    <definedName name="solver_opt" localSheetId="1" hidden="1">'東北'!$T$39</definedName>
    <definedName name="solver_pre" localSheetId="2" hidden="1">0.000001</definedName>
    <definedName name="solver_pre" localSheetId="3" hidden="1">0.000001</definedName>
    <definedName name="solver_pre" localSheetId="1" hidden="1">0.000001</definedName>
    <definedName name="solver_rel1" localSheetId="2" hidden="1">4</definedName>
    <definedName name="solver_rel1" localSheetId="3" hidden="1">1</definedName>
    <definedName name="solver_rel1" localSheetId="1" hidden="1">1</definedName>
    <definedName name="solver_rel10" localSheetId="2" hidden="1">3</definedName>
    <definedName name="solver_rel10" localSheetId="3" hidden="1">3</definedName>
    <definedName name="solver_rel10" localSheetId="1" hidden="1">3</definedName>
    <definedName name="solver_rel11" localSheetId="2" hidden="1">3</definedName>
    <definedName name="solver_rel11" localSheetId="3" hidden="1">4</definedName>
    <definedName name="solver_rel11" localSheetId="1" hidden="1">3</definedName>
    <definedName name="solver_rel12" localSheetId="2" hidden="1">3</definedName>
    <definedName name="solver_rel12" localSheetId="3" hidden="1">2</definedName>
    <definedName name="solver_rel12" localSheetId="1" hidden="1">1</definedName>
    <definedName name="solver_rel13" localSheetId="2" hidden="1">3</definedName>
    <definedName name="solver_rel13" localSheetId="3" hidden="1">1</definedName>
    <definedName name="solver_rel13" localSheetId="1" hidden="1">3</definedName>
    <definedName name="solver_rel14" localSheetId="2" hidden="1">1</definedName>
    <definedName name="solver_rel14" localSheetId="3" hidden="1">2</definedName>
    <definedName name="solver_rel14" localSheetId="1" hidden="1">3</definedName>
    <definedName name="solver_rel15" localSheetId="2" hidden="1">1</definedName>
    <definedName name="solver_rel15" localSheetId="3" hidden="1">3</definedName>
    <definedName name="solver_rel15" localSheetId="1" hidden="1">1</definedName>
    <definedName name="solver_rel16" localSheetId="2" hidden="1">3</definedName>
    <definedName name="solver_rel16" localSheetId="3" hidden="1">3</definedName>
    <definedName name="solver_rel16" localSheetId="1" hidden="1">2</definedName>
    <definedName name="solver_rel17" localSheetId="2" hidden="1">1</definedName>
    <definedName name="solver_rel17" localSheetId="3" hidden="1">1</definedName>
    <definedName name="solver_rel17" localSheetId="1" hidden="1">1</definedName>
    <definedName name="solver_rel18" localSheetId="2" hidden="1">1</definedName>
    <definedName name="solver_rel18" localSheetId="3" hidden="1">1</definedName>
    <definedName name="solver_rel18" localSheetId="1" hidden="1">1</definedName>
    <definedName name="solver_rel19" localSheetId="2" hidden="1">1</definedName>
    <definedName name="solver_rel19" localSheetId="3" hidden="1">4</definedName>
    <definedName name="solver_rel19" localSheetId="1" hidden="1">3</definedName>
    <definedName name="solver_rel2" localSheetId="2" hidden="1">1</definedName>
    <definedName name="solver_rel2" localSheetId="3" hidden="1">3</definedName>
    <definedName name="solver_rel2" localSheetId="1" hidden="1">4</definedName>
    <definedName name="solver_rel20" localSheetId="2" hidden="1">1</definedName>
    <definedName name="solver_rel20" localSheetId="3" hidden="1">4</definedName>
    <definedName name="solver_rel20" localSheetId="1" hidden="1">3</definedName>
    <definedName name="solver_rel21" localSheetId="2" hidden="1">1</definedName>
    <definedName name="solver_rel21" localSheetId="3" hidden="1">4</definedName>
    <definedName name="solver_rel21" localSheetId="1" hidden="1">3</definedName>
    <definedName name="solver_rel22" localSheetId="3" hidden="1">4</definedName>
    <definedName name="solver_rel22" localSheetId="1" hidden="1">3</definedName>
    <definedName name="solver_rel23" localSheetId="3" hidden="1">4</definedName>
    <definedName name="solver_rel23" localSheetId="1" hidden="1">1</definedName>
    <definedName name="solver_rel24" localSheetId="3" hidden="1">4</definedName>
    <definedName name="solver_rel24" localSheetId="1" hidden="1">1</definedName>
    <definedName name="solver_rel25" localSheetId="3" hidden="1">4</definedName>
    <definedName name="solver_rel26" localSheetId="3" hidden="1">4</definedName>
    <definedName name="solver_rel27" localSheetId="3" hidden="1">4</definedName>
    <definedName name="solver_rel28" localSheetId="3" hidden="1">4</definedName>
    <definedName name="solver_rel29" localSheetId="3" hidden="1">4</definedName>
    <definedName name="solver_rel3" localSheetId="2" hidden="1">1</definedName>
    <definedName name="solver_rel3" localSheetId="3" hidden="1">1</definedName>
    <definedName name="solver_rel3" localSheetId="1" hidden="1">1</definedName>
    <definedName name="solver_rel30" localSheetId="3" hidden="1">4</definedName>
    <definedName name="solver_rel31" localSheetId="3" hidden="1">4</definedName>
    <definedName name="solver_rel32" localSheetId="3" hidden="1">4</definedName>
    <definedName name="solver_rel4" localSheetId="2" hidden="1">2</definedName>
    <definedName name="solver_rel4" localSheetId="3" hidden="1">1</definedName>
    <definedName name="solver_rel4" localSheetId="1" hidden="1">2</definedName>
    <definedName name="solver_rel5" localSheetId="2" hidden="1">3</definedName>
    <definedName name="solver_rel5" localSheetId="3" hidden="1">1</definedName>
    <definedName name="solver_rel5" localSheetId="1" hidden="1">3</definedName>
    <definedName name="solver_rel6" localSheetId="2" hidden="1">3</definedName>
    <definedName name="solver_rel6" localSheetId="3" hidden="1">3</definedName>
    <definedName name="solver_rel6" localSheetId="1" hidden="1">3</definedName>
    <definedName name="solver_rel7" localSheetId="2" hidden="1">3</definedName>
    <definedName name="solver_rel7" localSheetId="3" hidden="1">3</definedName>
    <definedName name="solver_rel7" localSheetId="1" hidden="1">3</definedName>
    <definedName name="solver_rel8" localSheetId="2" hidden="1">3</definedName>
    <definedName name="solver_rel8" localSheetId="3" hidden="1">3</definedName>
    <definedName name="solver_rel8" localSheetId="1" hidden="1">3</definedName>
    <definedName name="solver_rel9" localSheetId="2" hidden="1">3</definedName>
    <definedName name="solver_rel9" localSheetId="3" hidden="1">3</definedName>
    <definedName name="solver_rel9" localSheetId="1" hidden="1">3</definedName>
    <definedName name="solver_rhs1" localSheetId="2" hidden="1">整数</definedName>
    <definedName name="solver_rhs1" localSheetId="3" hidden="1">'東日本'!$BM$72</definedName>
    <definedName name="solver_rhs1" localSheetId="1" hidden="1">1</definedName>
    <definedName name="solver_rhs10" localSheetId="2" hidden="1">'西日本'!$L$32</definedName>
    <definedName name="solver_rhs10" localSheetId="3" hidden="1">'東日本'!$BF$71</definedName>
    <definedName name="solver_rhs10" localSheetId="1" hidden="1">2</definedName>
    <definedName name="solver_rhs11" localSheetId="2" hidden="1">'西日本'!$L$33</definedName>
    <definedName name="solver_rhs11" localSheetId="3" hidden="1">整数</definedName>
    <definedName name="solver_rhs11" localSheetId="1" hidden="1">0</definedName>
    <definedName name="solver_rhs12" localSheetId="2" hidden="1">'西日本'!$L$34</definedName>
    <definedName name="solver_rhs12" localSheetId="3" hidden="1">'東日本'!$Y$47</definedName>
    <definedName name="solver_rhs12" localSheetId="1" hidden="1">2</definedName>
    <definedName name="solver_rhs13" localSheetId="2" hidden="1">0</definedName>
    <definedName name="solver_rhs13" localSheetId="3" hidden="1">'東日本'!$BM$34</definedName>
    <definedName name="solver_rhs13" localSheetId="1" hidden="1">2</definedName>
    <definedName name="solver_rhs14" localSheetId="2" hidden="1">9</definedName>
    <definedName name="solver_rhs14" localSheetId="3" hidden="1">'東日本'!$AD$36:$AD$37</definedName>
    <definedName name="solver_rhs14" localSheetId="1" hidden="1">2</definedName>
    <definedName name="solver_rhs15" localSheetId="2" hidden="1">7</definedName>
    <definedName name="solver_rhs15" localSheetId="3" hidden="1">'東日本'!$Y$39:$Y$45</definedName>
    <definedName name="solver_rhs15" localSheetId="1" hidden="1">2</definedName>
    <definedName name="solver_rhs16" localSheetId="2" hidden="1">0</definedName>
    <definedName name="solver_rhs16" localSheetId="3" hidden="1">'東日本'!$Y$45</definedName>
    <definedName name="solver_rhs16" localSheetId="1" hidden="1">0</definedName>
    <definedName name="solver_rhs17" localSheetId="2" hidden="1">14</definedName>
    <definedName name="solver_rhs17" localSheetId="3" hidden="1">'東日本'!$Y$36:$Y$38</definedName>
    <definedName name="solver_rhs17" localSheetId="1" hidden="1">8</definedName>
    <definedName name="solver_rhs18" localSheetId="2" hidden="1">13</definedName>
    <definedName name="solver_rhs18" localSheetId="3" hidden="1">'東日本'!$Y$37</definedName>
    <definedName name="solver_rhs18" localSheetId="1" hidden="1">1</definedName>
    <definedName name="solver_rhs19" localSheetId="2" hidden="1">15</definedName>
    <definedName name="solver_rhs19" localSheetId="3" hidden="1">整数</definedName>
    <definedName name="solver_rhs19" localSheetId="1" hidden="1">2</definedName>
    <definedName name="solver_rhs2" localSheetId="2" hidden="1">1</definedName>
    <definedName name="solver_rhs2" localSheetId="3" hidden="1">'東日本'!$BF$74</definedName>
    <definedName name="solver_rhs2" localSheetId="1" hidden="1">整数</definedName>
    <definedName name="solver_rhs20" localSheetId="2" hidden="1">14</definedName>
    <definedName name="solver_rhs20" localSheetId="3" hidden="1">整数</definedName>
    <definedName name="solver_rhs20" localSheetId="1" hidden="1">2</definedName>
    <definedName name="solver_rhs21" localSheetId="2" hidden="1">16</definedName>
    <definedName name="solver_rhs21" localSheetId="3" hidden="1">整数</definedName>
    <definedName name="solver_rhs21" localSheetId="1" hidden="1">2</definedName>
    <definedName name="solver_rhs22" localSheetId="3" hidden="1">整数</definedName>
    <definedName name="solver_rhs22" localSheetId="1" hidden="1">2</definedName>
    <definedName name="solver_rhs23" localSheetId="3" hidden="1">整数</definedName>
    <definedName name="solver_rhs23" localSheetId="1" hidden="1">11</definedName>
    <definedName name="solver_rhs24" localSheetId="3" hidden="1">整数</definedName>
    <definedName name="solver_rhs24" localSheetId="1" hidden="1">9</definedName>
    <definedName name="solver_rhs25" localSheetId="3" hidden="1">整数</definedName>
    <definedName name="solver_rhs26" localSheetId="3" hidden="1">整数</definedName>
    <definedName name="solver_rhs27" localSheetId="3" hidden="1">整数</definedName>
    <definedName name="solver_rhs28" localSheetId="3" hidden="1">整数</definedName>
    <definedName name="solver_rhs29" localSheetId="3" hidden="1">整数</definedName>
    <definedName name="solver_rhs3" localSheetId="2" hidden="1">2</definedName>
    <definedName name="solver_rhs3" localSheetId="3" hidden="1">2</definedName>
    <definedName name="solver_rhs3" localSheetId="1" hidden="1">2</definedName>
    <definedName name="solver_rhs30" localSheetId="3" hidden="1">整数</definedName>
    <definedName name="solver_rhs31" localSheetId="3" hidden="1">整数</definedName>
    <definedName name="solver_rhs32" localSheetId="3" hidden="1">整数</definedName>
    <definedName name="solver_rhs4" localSheetId="2" hidden="1">1</definedName>
    <definedName name="solver_rhs4" localSheetId="3" hidden="1">1</definedName>
    <definedName name="solver_rhs4" localSheetId="1" hidden="1">1</definedName>
    <definedName name="solver_rhs5" localSheetId="2" hidden="1">'西日本'!$BE$2:$BG$52</definedName>
    <definedName name="solver_rhs5" localSheetId="3" hidden="1">'東日本'!$BM$34</definedName>
    <definedName name="solver_rhs5" localSheetId="1" hidden="1">'東北'!$AA$3:$AC$21</definedName>
    <definedName name="solver_rhs6" localSheetId="2" hidden="1">'西日本'!$L$25:$L$26</definedName>
    <definedName name="solver_rhs6" localSheetId="3" hidden="1">'東日本'!$BC$2:$BE$83</definedName>
    <definedName name="solver_rhs6" localSheetId="1" hidden="1">'東北'!$F$37:$F$42</definedName>
    <definedName name="solver_rhs7" localSheetId="2" hidden="1">'西日本'!$L$33</definedName>
    <definedName name="solver_rhs7" localSheetId="3" hidden="1">'東日本'!$BF$9</definedName>
    <definedName name="solver_rhs7" localSheetId="1" hidden="1">2</definedName>
    <definedName name="solver_rhs8" localSheetId="2" hidden="1">'西日本'!$L$32</definedName>
    <definedName name="solver_rhs8" localSheetId="3" hidden="1">'東日本'!$BF$12</definedName>
    <definedName name="solver_rhs8" localSheetId="1" hidden="1">2</definedName>
    <definedName name="solver_rhs9" localSheetId="2" hidden="1">'西日本'!$L$31</definedName>
    <definedName name="solver_rhs9" localSheetId="3" hidden="1">'東日本'!$BF$67</definedName>
    <definedName name="solver_rhs9" localSheetId="1" hidden="1">2</definedName>
    <definedName name="solver_scl" localSheetId="2" hidden="1">2</definedName>
    <definedName name="solver_scl" localSheetId="3" hidden="1">2</definedName>
    <definedName name="solver_scl" localSheetId="1" hidden="1">2</definedName>
    <definedName name="solver_sho" localSheetId="2" hidden="1">2</definedName>
    <definedName name="solver_sho" localSheetId="3" hidden="1">2</definedName>
    <definedName name="solver_sho" localSheetId="1" hidden="1">2</definedName>
    <definedName name="solver_tim" localSheetId="2" hidden="1">600</definedName>
    <definedName name="solver_tim" localSheetId="3" hidden="1">600</definedName>
    <definedName name="solver_tim" localSheetId="1" hidden="1">100</definedName>
    <definedName name="solver_tol" localSheetId="2" hidden="1">0</definedName>
    <definedName name="solver_tol" localSheetId="3" hidden="1">0</definedName>
    <definedName name="solver_tol" localSheetId="1" hidden="1">0</definedName>
    <definedName name="solver_typ" localSheetId="2" hidden="1">1</definedName>
    <definedName name="solver_typ" localSheetId="3" hidden="1">1</definedName>
    <definedName name="solver_typ" localSheetId="1" hidden="1">1</definedName>
    <definedName name="solver_val" localSheetId="2" hidden="1">0</definedName>
    <definedName name="solver_val" localSheetId="3" hidden="1">0</definedName>
    <definedName name="solver_val" localSheetId="1" hidden="1">0</definedName>
  </definedNames>
  <calcPr fullCalcOnLoad="1" refMode="R1C1"/>
</workbook>
</file>

<file path=xl/sharedStrings.xml><?xml version="1.0" encoding="utf-8"?>
<sst xmlns="http://schemas.openxmlformats.org/spreadsheetml/2006/main" count="965" uniqueCount="225">
  <si>
    <t>東京</t>
  </si>
  <si>
    <t>品川</t>
  </si>
  <si>
    <t>川崎</t>
  </si>
  <si>
    <t>鶴見</t>
  </si>
  <si>
    <t>東神</t>
  </si>
  <si>
    <t>茅ヶ</t>
  </si>
  <si>
    <t>国府</t>
  </si>
  <si>
    <t>小田</t>
  </si>
  <si>
    <t>沼津</t>
  </si>
  <si>
    <t>豊橋</t>
  </si>
  <si>
    <t>名古</t>
  </si>
  <si>
    <t>岐阜</t>
  </si>
  <si>
    <t>三島</t>
  </si>
  <si>
    <t>静岡</t>
  </si>
  <si>
    <t>富士</t>
  </si>
  <si>
    <t>米原</t>
  </si>
  <si>
    <t>草津</t>
  </si>
  <si>
    <t>山科</t>
  </si>
  <si>
    <t>京都</t>
  </si>
  <si>
    <t>新大</t>
  </si>
  <si>
    <t>大阪</t>
  </si>
  <si>
    <t>尼崎</t>
  </si>
  <si>
    <t>加古</t>
  </si>
  <si>
    <t>岡山</t>
  </si>
  <si>
    <t>福山</t>
  </si>
  <si>
    <t>広島</t>
  </si>
  <si>
    <t>小郡</t>
  </si>
  <si>
    <t>金山</t>
  </si>
  <si>
    <t>姫路</t>
  </si>
  <si>
    <t>倉敷</t>
  </si>
  <si>
    <t>厚狭</t>
  </si>
  <si>
    <t>幡生</t>
  </si>
  <si>
    <t>代々</t>
  </si>
  <si>
    <t>新宿</t>
  </si>
  <si>
    <t>池袋</t>
  </si>
  <si>
    <t>田端</t>
  </si>
  <si>
    <t>尻手</t>
  </si>
  <si>
    <t>府中</t>
  </si>
  <si>
    <t>立川</t>
  </si>
  <si>
    <t>西国</t>
  </si>
  <si>
    <t>新横</t>
  </si>
  <si>
    <t>橋本</t>
  </si>
  <si>
    <t>八王</t>
  </si>
  <si>
    <t>甲府</t>
  </si>
  <si>
    <t>辰野</t>
  </si>
  <si>
    <t>塩尻</t>
  </si>
  <si>
    <t>岡谷</t>
  </si>
  <si>
    <t>小淵</t>
  </si>
  <si>
    <t>富山</t>
  </si>
  <si>
    <t>敦賀</t>
  </si>
  <si>
    <t>柘植</t>
  </si>
  <si>
    <t>木津</t>
  </si>
  <si>
    <t>奈良</t>
  </si>
  <si>
    <t>塩津</t>
  </si>
  <si>
    <t>亀山</t>
  </si>
  <si>
    <t>京橋</t>
  </si>
  <si>
    <t>天王</t>
  </si>
  <si>
    <t>王寺</t>
  </si>
  <si>
    <t>高田</t>
  </si>
  <si>
    <t>和歌</t>
  </si>
  <si>
    <t>綾部</t>
  </si>
  <si>
    <t>福知</t>
  </si>
  <si>
    <t>谷川</t>
  </si>
  <si>
    <t>西明</t>
  </si>
  <si>
    <t>和田</t>
  </si>
  <si>
    <t>東津</t>
  </si>
  <si>
    <t>津山</t>
  </si>
  <si>
    <t>総社</t>
  </si>
  <si>
    <t>新見</t>
  </si>
  <si>
    <t>神代</t>
  </si>
  <si>
    <t>落合</t>
  </si>
  <si>
    <t>塩町</t>
  </si>
  <si>
    <t>三次</t>
  </si>
  <si>
    <t>大山</t>
  </si>
  <si>
    <t>鳥取</t>
  </si>
  <si>
    <t>宍道</t>
  </si>
  <si>
    <t>江津</t>
  </si>
  <si>
    <t>益田</t>
  </si>
  <si>
    <t>長門</t>
  </si>
  <si>
    <t>松本</t>
  </si>
  <si>
    <t>糸魚</t>
  </si>
  <si>
    <t>佐久</t>
  </si>
  <si>
    <t>長野</t>
  </si>
  <si>
    <t>直江</t>
  </si>
  <si>
    <t>赤羽</t>
  </si>
  <si>
    <t>南浦</t>
  </si>
  <si>
    <t>武蔵</t>
  </si>
  <si>
    <t>大宮</t>
  </si>
  <si>
    <t>高崎</t>
  </si>
  <si>
    <t>倉賀</t>
  </si>
  <si>
    <t>新前</t>
  </si>
  <si>
    <t>小山</t>
  </si>
  <si>
    <t>湯沢</t>
  </si>
  <si>
    <t>川口</t>
  </si>
  <si>
    <t>小出</t>
  </si>
  <si>
    <t>豊野</t>
  </si>
  <si>
    <t>宮内</t>
  </si>
  <si>
    <t>柏崎</t>
  </si>
  <si>
    <t>新津</t>
  </si>
  <si>
    <t>郡山</t>
  </si>
  <si>
    <t>西若</t>
  </si>
  <si>
    <t>福島</t>
  </si>
  <si>
    <t>米沢</t>
  </si>
  <si>
    <t>千歳</t>
  </si>
  <si>
    <t>岩沼</t>
  </si>
  <si>
    <t>仙台</t>
  </si>
  <si>
    <t>坂町</t>
  </si>
  <si>
    <t>新庄</t>
  </si>
  <si>
    <t>余目</t>
  </si>
  <si>
    <t>古川</t>
  </si>
  <si>
    <t>小牛</t>
  </si>
  <si>
    <t>一関</t>
  </si>
  <si>
    <t>北上</t>
  </si>
  <si>
    <t>花巻</t>
  </si>
  <si>
    <t>横手</t>
  </si>
  <si>
    <t>新花</t>
  </si>
  <si>
    <t>盛岡</t>
  </si>
  <si>
    <t>大曲</t>
  </si>
  <si>
    <t>秋田</t>
  </si>
  <si>
    <t>青森</t>
  </si>
  <si>
    <t>日暮</t>
  </si>
  <si>
    <t>高麗</t>
  </si>
  <si>
    <t>拝島</t>
  </si>
  <si>
    <t>平</t>
  </si>
  <si>
    <t>新松</t>
  </si>
  <si>
    <t>我孫</t>
  </si>
  <si>
    <t>友部</t>
  </si>
  <si>
    <t>神田</t>
  </si>
  <si>
    <t>お茶</t>
  </si>
  <si>
    <t>秋葉</t>
  </si>
  <si>
    <t>錦糸</t>
  </si>
  <si>
    <t>西船</t>
  </si>
  <si>
    <t>市川</t>
  </si>
  <si>
    <t>南船</t>
  </si>
  <si>
    <t>千葉</t>
  </si>
  <si>
    <t>蘇我</t>
  </si>
  <si>
    <t>成田</t>
  </si>
  <si>
    <t>佐倉</t>
  </si>
  <si>
    <t>成東</t>
  </si>
  <si>
    <t>新発</t>
  </si>
  <si>
    <t>吉田</t>
  </si>
  <si>
    <t>東三</t>
  </si>
  <si>
    <t>燕三</t>
  </si>
  <si>
    <t>長岡</t>
  </si>
  <si>
    <t>水戸</t>
  </si>
  <si>
    <t>安積</t>
  </si>
  <si>
    <t>新潟</t>
  </si>
  <si>
    <t>前谷</t>
  </si>
  <si>
    <t>多治</t>
  </si>
  <si>
    <t>太田</t>
  </si>
  <si>
    <t>多治</t>
  </si>
  <si>
    <t>太田</t>
  </si>
  <si>
    <t>若松</t>
  </si>
  <si>
    <t>小出</t>
  </si>
  <si>
    <t>合計</t>
  </si>
  <si>
    <t>-</t>
  </si>
  <si>
    <t>坂町</t>
  </si>
  <si>
    <t>-</t>
  </si>
  <si>
    <t>福島</t>
  </si>
  <si>
    <t>富山</t>
  </si>
  <si>
    <t>太田</t>
  </si>
  <si>
    <t>岩沼</t>
  </si>
  <si>
    <t>熊谷</t>
  </si>
  <si>
    <t>倉賀</t>
  </si>
  <si>
    <t>高崎</t>
  </si>
  <si>
    <t>(1,1)</t>
  </si>
  <si>
    <t>(3,1)</t>
  </si>
  <si>
    <t>(1,3)</t>
  </si>
  <si>
    <t>(3,3)</t>
  </si>
  <si>
    <t>最大値</t>
  </si>
  <si>
    <t>接続部の枝数</t>
  </si>
  <si>
    <t>(東北,西日本)</t>
  </si>
  <si>
    <t>東日本との接続駅</t>
  </si>
  <si>
    <t>東日本地方無条件最大値</t>
  </si>
  <si>
    <t>（西日本）</t>
  </si>
  <si>
    <t>ケース毎の　　　　　　　　最大値</t>
  </si>
  <si>
    <t>最大ケース　　　　　　　　　　　　　　との差</t>
  </si>
  <si>
    <t>（東北）</t>
  </si>
  <si>
    <t>全区間(1)</t>
  </si>
  <si>
    <t>全区間(2)</t>
  </si>
  <si>
    <t>全区間(3)</t>
  </si>
  <si>
    <t>(東北)全区間(1)：福島・岩沼接続型</t>
  </si>
  <si>
    <t>(東北)全区間(2)：福島・坂町接続型</t>
  </si>
  <si>
    <t>美濃太田</t>
  </si>
  <si>
    <t>(西日本)全区間(2)：美濃太田・富山接続型</t>
  </si>
  <si>
    <t>区間</t>
  </si>
  <si>
    <t>距離</t>
  </si>
  <si>
    <t>H</t>
  </si>
  <si>
    <t>距離×H</t>
  </si>
  <si>
    <t>各駅に接続する枝のH</t>
  </si>
  <si>
    <t>ΣH</t>
  </si>
  <si>
    <t>ΣH/2</t>
  </si>
  <si>
    <t>全区間</t>
  </si>
  <si>
    <t>閾値</t>
  </si>
  <si>
    <t>制約</t>
  </si>
  <si>
    <t>名古屋</t>
  </si>
  <si>
    <t>(西日本)全区間(1)：美濃太田・名古屋接続型</t>
  </si>
  <si>
    <t>(西日本)全区間(3)：名古屋・富山接続型</t>
  </si>
  <si>
    <t>埼玉県</t>
  </si>
  <si>
    <t>房総半島</t>
  </si>
  <si>
    <t>新潟近郊</t>
  </si>
  <si>
    <t>暫定最大値との差</t>
  </si>
  <si>
    <t>部分巡回制限</t>
  </si>
  <si>
    <t>特定運賃計算キロ：7.4</t>
  </si>
  <si>
    <t>放出</t>
  </si>
  <si>
    <t>久宝</t>
  </si>
  <si>
    <t>久宝</t>
  </si>
  <si>
    <t>木津</t>
  </si>
  <si>
    <t>王寺</t>
  </si>
  <si>
    <t>小杉</t>
  </si>
  <si>
    <t>(1)</t>
  </si>
  <si>
    <t>(2)</t>
  </si>
  <si>
    <t>(3)</t>
  </si>
  <si>
    <t>群馬県</t>
  </si>
  <si>
    <t>東京近郊</t>
  </si>
  <si>
    <t>全域</t>
  </si>
  <si>
    <t>小計</t>
  </si>
  <si>
    <t>合計</t>
  </si>
  <si>
    <t>接続部枝数</t>
  </si>
  <si>
    <t>西日本</t>
  </si>
  <si>
    <t>東北</t>
  </si>
  <si>
    <t>○</t>
  </si>
  <si>
    <t>3569.8
以下</t>
  </si>
  <si>
    <t>3546.3
以下</t>
  </si>
  <si>
    <t>他組合せ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</si>
</sst>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dashed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dashed"/>
      <right style="thin"/>
      <top style="thin"/>
      <bottom style="thin"/>
    </border>
    <border>
      <left style="dashed"/>
      <right style="thin"/>
      <top style="thin"/>
      <bottom/>
    </border>
    <border>
      <left style="thin"/>
      <right style="dashed"/>
      <top style="thin"/>
      <bottom/>
    </border>
    <border>
      <left style="thin"/>
      <right style="dashed"/>
      <top style="thin"/>
      <bottom style="thin"/>
    </border>
    <border>
      <left style="thin"/>
      <right style="dashed"/>
      <top/>
      <bottom/>
    </border>
    <border>
      <left style="thin"/>
      <right style="dashed"/>
      <top/>
      <bottom style="thin"/>
    </border>
    <border>
      <left style="dashed"/>
      <right style="thin"/>
      <top/>
      <bottom style="thin"/>
    </border>
    <border>
      <left style="thin"/>
      <right/>
      <top style="thin"/>
      <bottom style="dashed"/>
    </border>
    <border>
      <left style="dashed"/>
      <right style="thin"/>
      <top style="thin"/>
      <bottom style="dashed"/>
    </border>
    <border>
      <left style="thin"/>
      <right/>
      <top/>
      <bottom style="dashed"/>
    </border>
    <border>
      <left style="thin"/>
      <right style="thin"/>
      <top style="thin"/>
      <bottom style="dashed"/>
    </border>
    <border>
      <left style="thin"/>
      <right style="thin"/>
      <top style="dashed"/>
      <bottom/>
    </border>
    <border>
      <left style="thin"/>
      <right style="thin"/>
      <top/>
      <bottom style="dashed"/>
    </border>
    <border>
      <left style="thin"/>
      <right/>
      <top style="dashed"/>
      <bottom/>
    </border>
    <border>
      <left style="dashed"/>
      <right style="thin"/>
      <top/>
      <bottom/>
    </border>
    <border>
      <left style="dashed"/>
      <right style="thin"/>
      <top style="dashed"/>
      <bottom/>
    </border>
    <border>
      <left style="dashed"/>
      <right style="thin"/>
      <top/>
      <bottom style="dashed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76" fontId="3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176" fontId="0" fillId="0" borderId="0" xfId="0" applyNumberFormat="1" applyAlignment="1">
      <alignment/>
    </xf>
    <xf numFmtId="176" fontId="0" fillId="0" borderId="0" xfId="0" applyNumberFormat="1" applyBorder="1" applyAlignment="1">
      <alignment/>
    </xf>
    <xf numFmtId="0" fontId="3" fillId="0" borderId="13" xfId="0" applyFont="1" applyBorder="1" applyAlignment="1">
      <alignment horizontal="center"/>
    </xf>
    <xf numFmtId="176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6" fontId="0" fillId="0" borderId="0" xfId="0" applyNumberFormat="1" applyAlignment="1">
      <alignment horizontal="left"/>
    </xf>
    <xf numFmtId="0" fontId="3" fillId="0" borderId="0" xfId="0" applyFont="1" applyAlignment="1">
      <alignment horizontal="right"/>
    </xf>
    <xf numFmtId="176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 horizontal="right"/>
    </xf>
    <xf numFmtId="176" fontId="0" fillId="0" borderId="14" xfId="0" applyNumberFormat="1" applyBorder="1" applyAlignment="1">
      <alignment shrinkToFit="1"/>
    </xf>
    <xf numFmtId="176" fontId="0" fillId="0" borderId="14" xfId="0" applyNumberFormat="1" applyBorder="1" applyAlignment="1">
      <alignment horizontal="center"/>
    </xf>
    <xf numFmtId="176" fontId="0" fillId="0" borderId="15" xfId="0" applyNumberFormat="1" applyBorder="1" applyAlignment="1">
      <alignment shrinkToFit="1"/>
    </xf>
    <xf numFmtId="176" fontId="0" fillId="0" borderId="15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 shrinkToFit="1"/>
    </xf>
    <xf numFmtId="176" fontId="0" fillId="0" borderId="16" xfId="0" applyNumberFormat="1" applyBorder="1" applyAlignment="1">
      <alignment horizontal="center" vertical="center" wrapText="1"/>
    </xf>
    <xf numFmtId="176" fontId="0" fillId="0" borderId="17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 shrinkToFit="1"/>
    </xf>
    <xf numFmtId="176" fontId="0" fillId="0" borderId="19" xfId="0" applyNumberFormat="1" applyBorder="1" applyAlignment="1">
      <alignment horizontal="center" vertical="center" wrapText="1"/>
    </xf>
    <xf numFmtId="176" fontId="0" fillId="0" borderId="20" xfId="0" applyNumberFormat="1" applyBorder="1" applyAlignment="1">
      <alignment horizontal="center" vertical="center" wrapText="1"/>
    </xf>
    <xf numFmtId="176" fontId="0" fillId="36" borderId="10" xfId="0" applyNumberFormat="1" applyFill="1" applyBorder="1" applyAlignment="1">
      <alignment horizontal="center" vertical="center" wrapText="1"/>
    </xf>
    <xf numFmtId="176" fontId="0" fillId="0" borderId="18" xfId="0" applyNumberForma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Continuous"/>
    </xf>
    <xf numFmtId="0" fontId="3" fillId="0" borderId="21" xfId="0" applyFont="1" applyBorder="1" applyAlignment="1">
      <alignment horizontal="centerContinuous"/>
    </xf>
    <xf numFmtId="176" fontId="3" fillId="0" borderId="10" xfId="0" applyNumberFormat="1" applyFont="1" applyBorder="1" applyAlignment="1">
      <alignment/>
    </xf>
    <xf numFmtId="0" fontId="3" fillId="0" borderId="16" xfId="0" applyFont="1" applyBorder="1" applyAlignment="1">
      <alignment horizontal="centerContinuous"/>
    </xf>
    <xf numFmtId="0" fontId="3" fillId="0" borderId="17" xfId="0" applyFont="1" applyBorder="1" applyAlignment="1">
      <alignment horizontal="centerContinuous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76" fontId="3" fillId="0" borderId="15" xfId="0" applyNumberFormat="1" applyFont="1" applyBorder="1" applyAlignment="1">
      <alignment/>
    </xf>
    <xf numFmtId="0" fontId="3" fillId="34" borderId="15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76" fontId="3" fillId="0" borderId="24" xfId="0" applyNumberFormat="1" applyFont="1" applyBorder="1" applyAlignment="1">
      <alignment/>
    </xf>
    <xf numFmtId="0" fontId="3" fillId="0" borderId="25" xfId="0" applyFont="1" applyBorder="1" applyAlignment="1">
      <alignment horizontal="center"/>
    </xf>
    <xf numFmtId="176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76" fontId="3" fillId="0" borderId="29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2" xfId="0" applyFont="1" applyBorder="1" applyAlignment="1">
      <alignment horizontal="centerContinuous"/>
    </xf>
    <xf numFmtId="0" fontId="3" fillId="0" borderId="33" xfId="0" applyFont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1" xfId="0" applyFont="1" applyBorder="1" applyAlignment="1">
      <alignment horizontal="centerContinuous"/>
    </xf>
    <xf numFmtId="0" fontId="3" fillId="0" borderId="31" xfId="0" applyFont="1" applyBorder="1" applyAlignment="1">
      <alignment horizontal="centerContinuous"/>
    </xf>
    <xf numFmtId="0" fontId="3" fillId="33" borderId="15" xfId="0" applyFont="1" applyFill="1" applyBorder="1" applyAlignment="1">
      <alignment horizontal="center"/>
    </xf>
    <xf numFmtId="0" fontId="3" fillId="0" borderId="14" xfId="0" applyFont="1" applyBorder="1" applyAlignment="1">
      <alignment horizontal="centerContinuous"/>
    </xf>
    <xf numFmtId="0" fontId="3" fillId="0" borderId="23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76" fontId="3" fillId="0" borderId="14" xfId="0" applyNumberFormat="1" applyFont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0" borderId="20" xfId="0" applyFont="1" applyBorder="1" applyAlignment="1">
      <alignment horizontal="centerContinuous"/>
    </xf>
    <xf numFmtId="0" fontId="3" fillId="0" borderId="30" xfId="0" applyFont="1" applyBorder="1" applyAlignment="1">
      <alignment horizontal="centerContinuous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19" xfId="0" applyFont="1" applyBorder="1" applyAlignment="1">
      <alignment horizontal="centerContinuous"/>
    </xf>
    <xf numFmtId="0" fontId="3" fillId="0" borderId="36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0" fontId="3" fillId="35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176" fontId="3" fillId="37" borderId="10" xfId="0" applyNumberFormat="1" applyFont="1" applyFill="1" applyBorder="1" applyAlignment="1">
      <alignment/>
    </xf>
    <xf numFmtId="176" fontId="3" fillId="34" borderId="10" xfId="0" applyNumberFormat="1" applyFont="1" applyFill="1" applyBorder="1" applyAlignment="1">
      <alignment/>
    </xf>
    <xf numFmtId="176" fontId="3" fillId="34" borderId="14" xfId="0" applyNumberFormat="1" applyFont="1" applyFill="1" applyBorder="1" applyAlignment="1">
      <alignment/>
    </xf>
    <xf numFmtId="176" fontId="3" fillId="34" borderId="23" xfId="0" applyNumberFormat="1" applyFont="1" applyFill="1" applyBorder="1" applyAlignment="1">
      <alignment/>
    </xf>
    <xf numFmtId="176" fontId="3" fillId="34" borderId="28" xfId="0" applyNumberFormat="1" applyFont="1" applyFill="1" applyBorder="1" applyAlignment="1">
      <alignment/>
    </xf>
    <xf numFmtId="176" fontId="3" fillId="34" borderId="15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176" fontId="38" fillId="34" borderId="10" xfId="0" applyNumberFormat="1" applyFont="1" applyFill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 quotePrefix="1">
      <alignment horizontal="center"/>
    </xf>
    <xf numFmtId="0" fontId="3" fillId="0" borderId="45" xfId="0" applyFont="1" applyBorder="1" applyAlignment="1" quotePrefix="1">
      <alignment horizontal="center"/>
    </xf>
    <xf numFmtId="0" fontId="3" fillId="0" borderId="46" xfId="0" applyFont="1" applyBorder="1" applyAlignment="1">
      <alignment horizontal="center"/>
    </xf>
    <xf numFmtId="0" fontId="3" fillId="0" borderId="33" xfId="0" applyFont="1" applyBorder="1" applyAlignment="1" quotePrefix="1">
      <alignment horizontal="center"/>
    </xf>
    <xf numFmtId="0" fontId="3" fillId="0" borderId="47" xfId="0" applyFont="1" applyBorder="1" applyAlignment="1">
      <alignment horizontal="center"/>
    </xf>
    <xf numFmtId="0" fontId="3" fillId="38" borderId="37" xfId="0" applyFont="1" applyFill="1" applyBorder="1" applyAlignment="1">
      <alignment horizontal="center"/>
    </xf>
    <xf numFmtId="0" fontId="3" fillId="38" borderId="34" xfId="0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31" xfId="0" applyFont="1" applyFill="1" applyBorder="1" applyAlignment="1">
      <alignment horizontal="center"/>
    </xf>
    <xf numFmtId="0" fontId="3" fillId="6" borderId="35" xfId="0" applyFont="1" applyFill="1" applyBorder="1" applyAlignment="1">
      <alignment horizontal="center"/>
    </xf>
    <xf numFmtId="0" fontId="3" fillId="6" borderId="40" xfId="0" applyFont="1" applyFill="1" applyBorder="1" applyAlignment="1">
      <alignment horizontal="center"/>
    </xf>
    <xf numFmtId="0" fontId="3" fillId="6" borderId="34" xfId="0" applyFont="1" applyFill="1" applyBorder="1" applyAlignment="1">
      <alignment horizontal="center"/>
    </xf>
    <xf numFmtId="0" fontId="3" fillId="7" borderId="48" xfId="0" applyFont="1" applyFill="1" applyBorder="1" applyAlignment="1">
      <alignment horizontal="center"/>
    </xf>
    <xf numFmtId="0" fontId="3" fillId="7" borderId="34" xfId="0" applyFont="1" applyFill="1" applyBorder="1" applyAlignment="1">
      <alignment horizontal="center"/>
    </xf>
    <xf numFmtId="0" fontId="3" fillId="7" borderId="35" xfId="0" applyFont="1" applyFill="1" applyBorder="1" applyAlignment="1">
      <alignment horizontal="center"/>
    </xf>
    <xf numFmtId="0" fontId="3" fillId="7" borderId="40" xfId="0" applyFont="1" applyFill="1" applyBorder="1" applyAlignment="1">
      <alignment horizontal="center"/>
    </xf>
    <xf numFmtId="0" fontId="3" fillId="6" borderId="48" xfId="0" applyFont="1" applyFill="1" applyBorder="1" applyAlignment="1">
      <alignment horizontal="center"/>
    </xf>
    <xf numFmtId="0" fontId="3" fillId="7" borderId="49" xfId="0" applyFont="1" applyFill="1" applyBorder="1" applyAlignment="1">
      <alignment horizontal="center"/>
    </xf>
    <xf numFmtId="0" fontId="3" fillId="7" borderId="50" xfId="0" applyFont="1" applyFill="1" applyBorder="1" applyAlignment="1">
      <alignment horizontal="center"/>
    </xf>
    <xf numFmtId="0" fontId="3" fillId="7" borderId="42" xfId="0" applyFont="1" applyFill="1" applyBorder="1" applyAlignment="1">
      <alignment horizontal="center"/>
    </xf>
    <xf numFmtId="176" fontId="0" fillId="0" borderId="13" xfId="0" applyNumberForma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6" fontId="0" fillId="38" borderId="51" xfId="0" applyNumberForma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/>
    </xf>
    <xf numFmtId="0" fontId="3" fillId="0" borderId="13" xfId="0" applyFont="1" applyBorder="1" applyAlignment="1">
      <alignment horizontal="left" shrinkToFit="1"/>
    </xf>
    <xf numFmtId="0" fontId="0" fillId="0" borderId="21" xfId="0" applyBorder="1" applyAlignment="1">
      <alignment shrinkToFit="1"/>
    </xf>
    <xf numFmtId="0" fontId="0" fillId="0" borderId="32" xfId="0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7</xdr:row>
      <xdr:rowOff>9525</xdr:rowOff>
    </xdr:from>
    <xdr:to>
      <xdr:col>3</xdr:col>
      <xdr:colOff>190500</xdr:colOff>
      <xdr:row>14</xdr:row>
      <xdr:rowOff>9525</xdr:rowOff>
    </xdr:to>
    <xdr:sp>
      <xdr:nvSpPr>
        <xdr:cNvPr id="1" name="Line 16"/>
        <xdr:cNvSpPr>
          <a:spLocks/>
        </xdr:cNvSpPr>
      </xdr:nvSpPr>
      <xdr:spPr>
        <a:xfrm>
          <a:off x="1047750" y="100965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6</xdr:row>
      <xdr:rowOff>133350</xdr:rowOff>
    </xdr:from>
    <xdr:to>
      <xdr:col>5</xdr:col>
      <xdr:colOff>219075</xdr:colOff>
      <xdr:row>10</xdr:row>
      <xdr:rowOff>0</xdr:rowOff>
    </xdr:to>
    <xdr:sp>
      <xdr:nvSpPr>
        <xdr:cNvPr id="2" name="Line 17"/>
        <xdr:cNvSpPr>
          <a:spLocks/>
        </xdr:cNvSpPr>
      </xdr:nvSpPr>
      <xdr:spPr>
        <a:xfrm>
          <a:off x="1647825" y="9906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6</xdr:row>
      <xdr:rowOff>57150</xdr:rowOff>
    </xdr:from>
    <xdr:to>
      <xdr:col>8</xdr:col>
      <xdr:colOff>276225</xdr:colOff>
      <xdr:row>6</xdr:row>
      <xdr:rowOff>57150</xdr:rowOff>
    </xdr:to>
    <xdr:sp>
      <xdr:nvSpPr>
        <xdr:cNvPr id="3" name="Line 18"/>
        <xdr:cNvSpPr>
          <a:spLocks/>
        </xdr:cNvSpPr>
      </xdr:nvSpPr>
      <xdr:spPr>
        <a:xfrm>
          <a:off x="1733550" y="9144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11</xdr:row>
      <xdr:rowOff>0</xdr:rowOff>
    </xdr:from>
    <xdr:to>
      <xdr:col>5</xdr:col>
      <xdr:colOff>219075</xdr:colOff>
      <xdr:row>13</xdr:row>
      <xdr:rowOff>133350</xdr:rowOff>
    </xdr:to>
    <xdr:sp>
      <xdr:nvSpPr>
        <xdr:cNvPr id="4" name="Line 19"/>
        <xdr:cNvSpPr>
          <a:spLocks/>
        </xdr:cNvSpPr>
      </xdr:nvSpPr>
      <xdr:spPr>
        <a:xfrm>
          <a:off x="1647825" y="15716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15</xdr:row>
      <xdr:rowOff>9525</xdr:rowOff>
    </xdr:from>
    <xdr:to>
      <xdr:col>3</xdr:col>
      <xdr:colOff>200025</xdr:colOff>
      <xdr:row>20</xdr:row>
      <xdr:rowOff>0</xdr:rowOff>
    </xdr:to>
    <xdr:sp>
      <xdr:nvSpPr>
        <xdr:cNvPr id="5" name="Line 20"/>
        <xdr:cNvSpPr>
          <a:spLocks/>
        </xdr:cNvSpPr>
      </xdr:nvSpPr>
      <xdr:spPr>
        <a:xfrm>
          <a:off x="1057275" y="21526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228600</xdr:colOff>
      <xdr:row>17</xdr:row>
      <xdr:rowOff>9525</xdr:rowOff>
    </xdr:from>
    <xdr:to>
      <xdr:col>5</xdr:col>
      <xdr:colOff>228600</xdr:colOff>
      <xdr:row>20</xdr:row>
      <xdr:rowOff>0</xdr:rowOff>
    </xdr:to>
    <xdr:sp>
      <xdr:nvSpPr>
        <xdr:cNvPr id="6" name="Line 21"/>
        <xdr:cNvSpPr>
          <a:spLocks/>
        </xdr:cNvSpPr>
      </xdr:nvSpPr>
      <xdr:spPr>
        <a:xfrm>
          <a:off x="1657350" y="24384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10</xdr:row>
      <xdr:rowOff>47625</xdr:rowOff>
    </xdr:from>
    <xdr:to>
      <xdr:col>9</xdr:col>
      <xdr:colOff>0</xdr:colOff>
      <xdr:row>10</xdr:row>
      <xdr:rowOff>47625</xdr:rowOff>
    </xdr:to>
    <xdr:sp>
      <xdr:nvSpPr>
        <xdr:cNvPr id="7" name="Line 22"/>
        <xdr:cNvSpPr>
          <a:spLocks/>
        </xdr:cNvSpPr>
      </xdr:nvSpPr>
      <xdr:spPr>
        <a:xfrm>
          <a:off x="1724025" y="14763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66675</xdr:rowOff>
    </xdr:from>
    <xdr:to>
      <xdr:col>0</xdr:col>
      <xdr:colOff>0</xdr:colOff>
      <xdr:row>25</xdr:row>
      <xdr:rowOff>0</xdr:rowOff>
    </xdr:to>
    <xdr:sp>
      <xdr:nvSpPr>
        <xdr:cNvPr id="8" name="Line 78"/>
        <xdr:cNvSpPr>
          <a:spLocks/>
        </xdr:cNvSpPr>
      </xdr:nvSpPr>
      <xdr:spPr>
        <a:xfrm flipH="1" flipV="1">
          <a:off x="0" y="34956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0</xdr:colOff>
      <xdr:row>25</xdr:row>
      <xdr:rowOff>19050</xdr:rowOff>
    </xdr:to>
    <xdr:sp>
      <xdr:nvSpPr>
        <xdr:cNvPr id="9" name="Line 79"/>
        <xdr:cNvSpPr>
          <a:spLocks/>
        </xdr:cNvSpPr>
      </xdr:nvSpPr>
      <xdr:spPr>
        <a:xfrm flipV="1">
          <a:off x="0" y="34861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14</xdr:row>
      <xdr:rowOff>85725</xdr:rowOff>
    </xdr:from>
    <xdr:to>
      <xdr:col>10</xdr:col>
      <xdr:colOff>209550</xdr:colOff>
      <xdr:row>16</xdr:row>
      <xdr:rowOff>0</xdr:rowOff>
    </xdr:to>
    <xdr:sp>
      <xdr:nvSpPr>
        <xdr:cNvPr id="10" name="Line 82"/>
        <xdr:cNvSpPr>
          <a:spLocks/>
        </xdr:cNvSpPr>
      </xdr:nvSpPr>
      <xdr:spPr>
        <a:xfrm flipV="1">
          <a:off x="2905125" y="2085975"/>
          <a:ext cx="1905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12</xdr:row>
      <xdr:rowOff>133350</xdr:rowOff>
    </xdr:from>
    <xdr:to>
      <xdr:col>10</xdr:col>
      <xdr:colOff>209550</xdr:colOff>
      <xdr:row>14</xdr:row>
      <xdr:rowOff>85725</xdr:rowOff>
    </xdr:to>
    <xdr:sp>
      <xdr:nvSpPr>
        <xdr:cNvPr id="11" name="Line 83"/>
        <xdr:cNvSpPr>
          <a:spLocks/>
        </xdr:cNvSpPr>
      </xdr:nvSpPr>
      <xdr:spPr>
        <a:xfrm>
          <a:off x="2895600" y="1847850"/>
          <a:ext cx="2000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16</xdr:row>
      <xdr:rowOff>133350</xdr:rowOff>
    </xdr:from>
    <xdr:to>
      <xdr:col>7</xdr:col>
      <xdr:colOff>0</xdr:colOff>
      <xdr:row>18</xdr:row>
      <xdr:rowOff>76200</xdr:rowOff>
    </xdr:to>
    <xdr:sp>
      <xdr:nvSpPr>
        <xdr:cNvPr id="12" name="Line 88"/>
        <xdr:cNvSpPr>
          <a:spLocks/>
        </xdr:cNvSpPr>
      </xdr:nvSpPr>
      <xdr:spPr>
        <a:xfrm flipH="1">
          <a:off x="1866900" y="2419350"/>
          <a:ext cx="1333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18</xdr:row>
      <xdr:rowOff>85725</xdr:rowOff>
    </xdr:from>
    <xdr:to>
      <xdr:col>7</xdr:col>
      <xdr:colOff>9525</xdr:colOff>
      <xdr:row>20</xdr:row>
      <xdr:rowOff>19050</xdr:rowOff>
    </xdr:to>
    <xdr:sp>
      <xdr:nvSpPr>
        <xdr:cNvPr id="13" name="Line 89"/>
        <xdr:cNvSpPr>
          <a:spLocks/>
        </xdr:cNvSpPr>
      </xdr:nvSpPr>
      <xdr:spPr>
        <a:xfrm>
          <a:off x="1866900" y="2657475"/>
          <a:ext cx="1428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</xdr:row>
      <xdr:rowOff>47625</xdr:rowOff>
    </xdr:from>
    <xdr:to>
      <xdr:col>9</xdr:col>
      <xdr:colOff>47625</xdr:colOff>
      <xdr:row>5</xdr:row>
      <xdr:rowOff>133350</xdr:rowOff>
    </xdr:to>
    <xdr:sp>
      <xdr:nvSpPr>
        <xdr:cNvPr id="14" name="Line 97"/>
        <xdr:cNvSpPr>
          <a:spLocks/>
        </xdr:cNvSpPr>
      </xdr:nvSpPr>
      <xdr:spPr>
        <a:xfrm>
          <a:off x="2324100" y="333375"/>
          <a:ext cx="3238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76200</xdr:rowOff>
    </xdr:from>
    <xdr:to>
      <xdr:col>6</xdr:col>
      <xdr:colOff>276225</xdr:colOff>
      <xdr:row>6</xdr:row>
      <xdr:rowOff>0</xdr:rowOff>
    </xdr:to>
    <xdr:sp>
      <xdr:nvSpPr>
        <xdr:cNvPr id="15" name="Line 98"/>
        <xdr:cNvSpPr>
          <a:spLocks/>
        </xdr:cNvSpPr>
      </xdr:nvSpPr>
      <xdr:spPr>
        <a:xfrm flipH="1">
          <a:off x="1143000" y="361950"/>
          <a:ext cx="8477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276225</xdr:colOff>
      <xdr:row>6</xdr:row>
      <xdr:rowOff>95250</xdr:rowOff>
    </xdr:from>
    <xdr:to>
      <xdr:col>5</xdr:col>
      <xdr:colOff>0</xdr:colOff>
      <xdr:row>6</xdr:row>
      <xdr:rowOff>95250</xdr:rowOff>
    </xdr:to>
    <xdr:sp>
      <xdr:nvSpPr>
        <xdr:cNvPr id="16" name="Line 104"/>
        <xdr:cNvSpPr>
          <a:spLocks/>
        </xdr:cNvSpPr>
      </xdr:nvSpPr>
      <xdr:spPr>
        <a:xfrm>
          <a:off x="1133475" y="9525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228600</xdr:colOff>
      <xdr:row>6</xdr:row>
      <xdr:rowOff>133350</xdr:rowOff>
    </xdr:from>
    <xdr:to>
      <xdr:col>9</xdr:col>
      <xdr:colOff>228600</xdr:colOff>
      <xdr:row>7</xdr:row>
      <xdr:rowOff>133350</xdr:rowOff>
    </xdr:to>
    <xdr:sp>
      <xdr:nvSpPr>
        <xdr:cNvPr id="17" name="Line 105"/>
        <xdr:cNvSpPr>
          <a:spLocks/>
        </xdr:cNvSpPr>
      </xdr:nvSpPr>
      <xdr:spPr>
        <a:xfrm>
          <a:off x="2828925" y="9906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228600</xdr:colOff>
      <xdr:row>8</xdr:row>
      <xdr:rowOff>133350</xdr:rowOff>
    </xdr:from>
    <xdr:to>
      <xdr:col>9</xdr:col>
      <xdr:colOff>228600</xdr:colOff>
      <xdr:row>10</xdr:row>
      <xdr:rowOff>0</xdr:rowOff>
    </xdr:to>
    <xdr:sp>
      <xdr:nvSpPr>
        <xdr:cNvPr id="18" name="Line 106"/>
        <xdr:cNvSpPr>
          <a:spLocks/>
        </xdr:cNvSpPr>
      </xdr:nvSpPr>
      <xdr:spPr>
        <a:xfrm>
          <a:off x="2828925" y="12763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228600</xdr:colOff>
      <xdr:row>10</xdr:row>
      <xdr:rowOff>133350</xdr:rowOff>
    </xdr:from>
    <xdr:to>
      <xdr:col>9</xdr:col>
      <xdr:colOff>228600</xdr:colOff>
      <xdr:row>12</xdr:row>
      <xdr:rowOff>0</xdr:rowOff>
    </xdr:to>
    <xdr:sp>
      <xdr:nvSpPr>
        <xdr:cNvPr id="19" name="Line 107"/>
        <xdr:cNvSpPr>
          <a:spLocks/>
        </xdr:cNvSpPr>
      </xdr:nvSpPr>
      <xdr:spPr>
        <a:xfrm>
          <a:off x="2828925" y="1562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13</xdr:row>
      <xdr:rowOff>0</xdr:rowOff>
    </xdr:from>
    <xdr:to>
      <xdr:col>9</xdr:col>
      <xdr:colOff>209550</xdr:colOff>
      <xdr:row>13</xdr:row>
      <xdr:rowOff>133350</xdr:rowOff>
    </xdr:to>
    <xdr:sp>
      <xdr:nvSpPr>
        <xdr:cNvPr id="20" name="Line 108"/>
        <xdr:cNvSpPr>
          <a:spLocks/>
        </xdr:cNvSpPr>
      </xdr:nvSpPr>
      <xdr:spPr>
        <a:xfrm>
          <a:off x="2809875" y="18573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15</xdr:row>
      <xdr:rowOff>0</xdr:rowOff>
    </xdr:from>
    <xdr:to>
      <xdr:col>9</xdr:col>
      <xdr:colOff>209550</xdr:colOff>
      <xdr:row>16</xdr:row>
      <xdr:rowOff>0</xdr:rowOff>
    </xdr:to>
    <xdr:sp>
      <xdr:nvSpPr>
        <xdr:cNvPr id="21" name="Line 109"/>
        <xdr:cNvSpPr>
          <a:spLocks/>
        </xdr:cNvSpPr>
      </xdr:nvSpPr>
      <xdr:spPr>
        <a:xfrm>
          <a:off x="2809875" y="21431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9</xdr:col>
      <xdr:colOff>0</xdr:colOff>
      <xdr:row>16</xdr:row>
      <xdr:rowOff>19050</xdr:rowOff>
    </xdr:to>
    <xdr:sp>
      <xdr:nvSpPr>
        <xdr:cNvPr id="22" name="Line 110"/>
        <xdr:cNvSpPr>
          <a:spLocks/>
        </xdr:cNvSpPr>
      </xdr:nvSpPr>
      <xdr:spPr>
        <a:xfrm flipH="1">
          <a:off x="2314575" y="2143125"/>
          <a:ext cx="2857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9</xdr:col>
      <xdr:colOff>0</xdr:colOff>
      <xdr:row>14</xdr:row>
      <xdr:rowOff>0</xdr:rowOff>
    </xdr:to>
    <xdr:sp>
      <xdr:nvSpPr>
        <xdr:cNvPr id="23" name="Line 111"/>
        <xdr:cNvSpPr>
          <a:spLocks/>
        </xdr:cNvSpPr>
      </xdr:nvSpPr>
      <xdr:spPr>
        <a:xfrm flipH="1">
          <a:off x="2314575" y="1838325"/>
          <a:ext cx="2857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15</xdr:row>
      <xdr:rowOff>9525</xdr:rowOff>
    </xdr:from>
    <xdr:to>
      <xdr:col>7</xdr:col>
      <xdr:colOff>238125</xdr:colOff>
      <xdr:row>16</xdr:row>
      <xdr:rowOff>9525</xdr:rowOff>
    </xdr:to>
    <xdr:sp>
      <xdr:nvSpPr>
        <xdr:cNvPr id="24" name="Line 112"/>
        <xdr:cNvSpPr>
          <a:spLocks/>
        </xdr:cNvSpPr>
      </xdr:nvSpPr>
      <xdr:spPr>
        <a:xfrm>
          <a:off x="2238375" y="21526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25" name="Line 113"/>
        <xdr:cNvSpPr>
          <a:spLocks/>
        </xdr:cNvSpPr>
      </xdr:nvSpPr>
      <xdr:spPr>
        <a:xfrm>
          <a:off x="2314575" y="24003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85725</xdr:rowOff>
    </xdr:from>
    <xdr:to>
      <xdr:col>9</xdr:col>
      <xdr:colOff>0</xdr:colOff>
      <xdr:row>14</xdr:row>
      <xdr:rowOff>85725</xdr:rowOff>
    </xdr:to>
    <xdr:sp>
      <xdr:nvSpPr>
        <xdr:cNvPr id="26" name="Line 114"/>
        <xdr:cNvSpPr>
          <a:spLocks/>
        </xdr:cNvSpPr>
      </xdr:nvSpPr>
      <xdr:spPr>
        <a:xfrm>
          <a:off x="2314575" y="20859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14</xdr:row>
      <xdr:rowOff>85725</xdr:rowOff>
    </xdr:from>
    <xdr:to>
      <xdr:col>6</xdr:col>
      <xdr:colOff>276225</xdr:colOff>
      <xdr:row>14</xdr:row>
      <xdr:rowOff>85725</xdr:rowOff>
    </xdr:to>
    <xdr:sp>
      <xdr:nvSpPr>
        <xdr:cNvPr id="27" name="Line 115"/>
        <xdr:cNvSpPr>
          <a:spLocks/>
        </xdr:cNvSpPr>
      </xdr:nvSpPr>
      <xdr:spPr>
        <a:xfrm>
          <a:off x="1704975" y="20859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85725</xdr:rowOff>
    </xdr:from>
    <xdr:to>
      <xdr:col>5</xdr:col>
      <xdr:colOff>0</xdr:colOff>
      <xdr:row>14</xdr:row>
      <xdr:rowOff>85725</xdr:rowOff>
    </xdr:to>
    <xdr:sp>
      <xdr:nvSpPr>
        <xdr:cNvPr id="28" name="Line 116"/>
        <xdr:cNvSpPr>
          <a:spLocks/>
        </xdr:cNvSpPr>
      </xdr:nvSpPr>
      <xdr:spPr>
        <a:xfrm>
          <a:off x="1143000" y="20859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228600</xdr:colOff>
      <xdr:row>15</xdr:row>
      <xdr:rowOff>9525</xdr:rowOff>
    </xdr:from>
    <xdr:to>
      <xdr:col>5</xdr:col>
      <xdr:colOff>228600</xdr:colOff>
      <xdr:row>15</xdr:row>
      <xdr:rowOff>133350</xdr:rowOff>
    </xdr:to>
    <xdr:sp>
      <xdr:nvSpPr>
        <xdr:cNvPr id="29" name="Line 117"/>
        <xdr:cNvSpPr>
          <a:spLocks/>
        </xdr:cNvSpPr>
      </xdr:nvSpPr>
      <xdr:spPr>
        <a:xfrm>
          <a:off x="1657350" y="21526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85725</xdr:rowOff>
    </xdr:from>
    <xdr:to>
      <xdr:col>7</xdr:col>
      <xdr:colOff>9525</xdr:colOff>
      <xdr:row>16</xdr:row>
      <xdr:rowOff>85725</xdr:rowOff>
    </xdr:to>
    <xdr:sp>
      <xdr:nvSpPr>
        <xdr:cNvPr id="30" name="Line 118"/>
        <xdr:cNvSpPr>
          <a:spLocks/>
        </xdr:cNvSpPr>
      </xdr:nvSpPr>
      <xdr:spPr>
        <a:xfrm>
          <a:off x="1714500" y="23717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20</xdr:row>
      <xdr:rowOff>95250</xdr:rowOff>
    </xdr:from>
    <xdr:to>
      <xdr:col>6</xdr:col>
      <xdr:colOff>276225</xdr:colOff>
      <xdr:row>20</xdr:row>
      <xdr:rowOff>95250</xdr:rowOff>
    </xdr:to>
    <xdr:sp>
      <xdr:nvSpPr>
        <xdr:cNvPr id="31" name="Line 119"/>
        <xdr:cNvSpPr>
          <a:spLocks/>
        </xdr:cNvSpPr>
      </xdr:nvSpPr>
      <xdr:spPr>
        <a:xfrm>
          <a:off x="1704975" y="29527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18</xdr:row>
      <xdr:rowOff>133350</xdr:rowOff>
    </xdr:from>
    <xdr:to>
      <xdr:col>8</xdr:col>
      <xdr:colOff>276225</xdr:colOff>
      <xdr:row>19</xdr:row>
      <xdr:rowOff>133350</xdr:rowOff>
    </xdr:to>
    <xdr:sp>
      <xdr:nvSpPr>
        <xdr:cNvPr id="32" name="Line 120"/>
        <xdr:cNvSpPr>
          <a:spLocks/>
        </xdr:cNvSpPr>
      </xdr:nvSpPr>
      <xdr:spPr>
        <a:xfrm>
          <a:off x="2324100" y="2705100"/>
          <a:ext cx="266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17</xdr:row>
      <xdr:rowOff>0</xdr:rowOff>
    </xdr:from>
    <xdr:to>
      <xdr:col>7</xdr:col>
      <xdr:colOff>219075</xdr:colOff>
      <xdr:row>18</xdr:row>
      <xdr:rowOff>0</xdr:rowOff>
    </xdr:to>
    <xdr:sp>
      <xdr:nvSpPr>
        <xdr:cNvPr id="33" name="Line 121"/>
        <xdr:cNvSpPr>
          <a:spLocks/>
        </xdr:cNvSpPr>
      </xdr:nvSpPr>
      <xdr:spPr>
        <a:xfrm>
          <a:off x="2219325" y="24288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19</xdr:row>
      <xdr:rowOff>0</xdr:rowOff>
    </xdr:from>
    <xdr:to>
      <xdr:col>7</xdr:col>
      <xdr:colOff>228600</xdr:colOff>
      <xdr:row>20</xdr:row>
      <xdr:rowOff>0</xdr:rowOff>
    </xdr:to>
    <xdr:sp>
      <xdr:nvSpPr>
        <xdr:cNvPr id="34" name="Line 122"/>
        <xdr:cNvSpPr>
          <a:spLocks/>
        </xdr:cNvSpPr>
      </xdr:nvSpPr>
      <xdr:spPr>
        <a:xfrm>
          <a:off x="2228850" y="27146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21</xdr:row>
      <xdr:rowOff>9525</xdr:rowOff>
    </xdr:from>
    <xdr:to>
      <xdr:col>7</xdr:col>
      <xdr:colOff>228600</xdr:colOff>
      <xdr:row>21</xdr:row>
      <xdr:rowOff>133350</xdr:rowOff>
    </xdr:to>
    <xdr:sp>
      <xdr:nvSpPr>
        <xdr:cNvPr id="35" name="Line 123"/>
        <xdr:cNvSpPr>
          <a:spLocks/>
        </xdr:cNvSpPr>
      </xdr:nvSpPr>
      <xdr:spPr>
        <a:xfrm>
          <a:off x="2228850" y="30099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95250</xdr:rowOff>
    </xdr:from>
    <xdr:to>
      <xdr:col>5</xdr:col>
      <xdr:colOff>0</xdr:colOff>
      <xdr:row>20</xdr:row>
      <xdr:rowOff>95250</xdr:rowOff>
    </xdr:to>
    <xdr:sp>
      <xdr:nvSpPr>
        <xdr:cNvPr id="36" name="Line 124"/>
        <xdr:cNvSpPr>
          <a:spLocks/>
        </xdr:cNvSpPr>
      </xdr:nvSpPr>
      <xdr:spPr>
        <a:xfrm>
          <a:off x="1143000" y="29527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20</xdr:row>
      <xdr:rowOff>85725</xdr:rowOff>
    </xdr:from>
    <xdr:to>
      <xdr:col>3</xdr:col>
      <xdr:colOff>0</xdr:colOff>
      <xdr:row>20</xdr:row>
      <xdr:rowOff>85725</xdr:rowOff>
    </xdr:to>
    <xdr:sp>
      <xdr:nvSpPr>
        <xdr:cNvPr id="37" name="Line 125"/>
        <xdr:cNvSpPr>
          <a:spLocks/>
        </xdr:cNvSpPr>
      </xdr:nvSpPr>
      <xdr:spPr>
        <a:xfrm>
          <a:off x="561975" y="29432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0</xdr:rowOff>
    </xdr:from>
    <xdr:to>
      <xdr:col>10</xdr:col>
      <xdr:colOff>276225</xdr:colOff>
      <xdr:row>7</xdr:row>
      <xdr:rowOff>133350</xdr:rowOff>
    </xdr:to>
    <xdr:sp>
      <xdr:nvSpPr>
        <xdr:cNvPr id="38" name="Line 126"/>
        <xdr:cNvSpPr>
          <a:spLocks/>
        </xdr:cNvSpPr>
      </xdr:nvSpPr>
      <xdr:spPr>
        <a:xfrm>
          <a:off x="2895600" y="1000125"/>
          <a:ext cx="266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11</xdr:col>
      <xdr:colOff>0</xdr:colOff>
      <xdr:row>8</xdr:row>
      <xdr:rowOff>85725</xdr:rowOff>
    </xdr:to>
    <xdr:sp>
      <xdr:nvSpPr>
        <xdr:cNvPr id="39" name="Line 127"/>
        <xdr:cNvSpPr>
          <a:spLocks/>
        </xdr:cNvSpPr>
      </xdr:nvSpPr>
      <xdr:spPr>
        <a:xfrm>
          <a:off x="2886075" y="12287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>
      <xdr:nvSpPr>
        <xdr:cNvPr id="40" name="Line 128"/>
        <xdr:cNvSpPr>
          <a:spLocks/>
        </xdr:cNvSpPr>
      </xdr:nvSpPr>
      <xdr:spPr>
        <a:xfrm flipV="1">
          <a:off x="2886075" y="1285875"/>
          <a:ext cx="2857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219075</xdr:colOff>
      <xdr:row>17</xdr:row>
      <xdr:rowOff>85725</xdr:rowOff>
    </xdr:from>
    <xdr:to>
      <xdr:col>28</xdr:col>
      <xdr:colOff>9525</xdr:colOff>
      <xdr:row>18</xdr:row>
      <xdr:rowOff>57150</xdr:rowOff>
    </xdr:to>
    <xdr:sp>
      <xdr:nvSpPr>
        <xdr:cNvPr id="1" name="Line 7"/>
        <xdr:cNvSpPr>
          <a:spLocks/>
        </xdr:cNvSpPr>
      </xdr:nvSpPr>
      <xdr:spPr>
        <a:xfrm>
          <a:off x="7019925" y="2533650"/>
          <a:ext cx="9334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276225</xdr:colOff>
      <xdr:row>11</xdr:row>
      <xdr:rowOff>0</xdr:rowOff>
    </xdr:from>
    <xdr:to>
      <xdr:col>24</xdr:col>
      <xdr:colOff>9525</xdr:colOff>
      <xdr:row>16</xdr:row>
      <xdr:rowOff>0</xdr:rowOff>
    </xdr:to>
    <xdr:sp>
      <xdr:nvSpPr>
        <xdr:cNvPr id="2" name="Line 8"/>
        <xdr:cNvSpPr>
          <a:spLocks/>
        </xdr:cNvSpPr>
      </xdr:nvSpPr>
      <xdr:spPr>
        <a:xfrm flipH="1">
          <a:off x="5934075" y="1590675"/>
          <a:ext cx="8763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257175</xdr:colOff>
      <xdr:row>16</xdr:row>
      <xdr:rowOff>123825</xdr:rowOff>
    </xdr:from>
    <xdr:to>
      <xdr:col>23</xdr:col>
      <xdr:colOff>123825</xdr:colOff>
      <xdr:row>18</xdr:row>
      <xdr:rowOff>76200</xdr:rowOff>
    </xdr:to>
    <xdr:sp>
      <xdr:nvSpPr>
        <xdr:cNvPr id="3" name="Line 9"/>
        <xdr:cNvSpPr>
          <a:spLocks/>
        </xdr:cNvSpPr>
      </xdr:nvSpPr>
      <xdr:spPr>
        <a:xfrm>
          <a:off x="6486525" y="2428875"/>
          <a:ext cx="1524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123825</xdr:colOff>
      <xdr:row>18</xdr:row>
      <xdr:rowOff>85725</xdr:rowOff>
    </xdr:from>
    <xdr:to>
      <xdr:col>27</xdr:col>
      <xdr:colOff>95250</xdr:colOff>
      <xdr:row>18</xdr:row>
      <xdr:rowOff>104775</xdr:rowOff>
    </xdr:to>
    <xdr:sp>
      <xdr:nvSpPr>
        <xdr:cNvPr id="4" name="Line 10"/>
        <xdr:cNvSpPr>
          <a:spLocks/>
        </xdr:cNvSpPr>
      </xdr:nvSpPr>
      <xdr:spPr>
        <a:xfrm>
          <a:off x="6638925" y="2676525"/>
          <a:ext cx="11144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276225</xdr:colOff>
      <xdr:row>9</xdr:row>
      <xdr:rowOff>9525</xdr:rowOff>
    </xdr:from>
    <xdr:to>
      <xdr:col>22</xdr:col>
      <xdr:colOff>0</xdr:colOff>
      <xdr:row>16</xdr:row>
      <xdr:rowOff>19050</xdr:rowOff>
    </xdr:to>
    <xdr:sp>
      <xdr:nvSpPr>
        <xdr:cNvPr id="5" name="Line 11"/>
        <xdr:cNvSpPr>
          <a:spLocks/>
        </xdr:cNvSpPr>
      </xdr:nvSpPr>
      <xdr:spPr>
        <a:xfrm flipV="1">
          <a:off x="5362575" y="1314450"/>
          <a:ext cx="86677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2</xdr:row>
      <xdr:rowOff>57150</xdr:rowOff>
    </xdr:from>
    <xdr:to>
      <xdr:col>42</xdr:col>
      <xdr:colOff>0</xdr:colOff>
      <xdr:row>2</xdr:row>
      <xdr:rowOff>57150</xdr:rowOff>
    </xdr:to>
    <xdr:sp>
      <xdr:nvSpPr>
        <xdr:cNvPr id="6" name="Line 49"/>
        <xdr:cNvSpPr>
          <a:spLocks/>
        </xdr:cNvSpPr>
      </xdr:nvSpPr>
      <xdr:spPr>
        <a:xfrm>
          <a:off x="11096625" y="3524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219075</xdr:colOff>
      <xdr:row>2</xdr:row>
      <xdr:rowOff>133350</xdr:rowOff>
    </xdr:from>
    <xdr:to>
      <xdr:col>38</xdr:col>
      <xdr:colOff>219075</xdr:colOff>
      <xdr:row>11</xdr:row>
      <xdr:rowOff>123825</xdr:rowOff>
    </xdr:to>
    <xdr:sp>
      <xdr:nvSpPr>
        <xdr:cNvPr id="7" name="Line 50"/>
        <xdr:cNvSpPr>
          <a:spLocks/>
        </xdr:cNvSpPr>
      </xdr:nvSpPr>
      <xdr:spPr>
        <a:xfrm>
          <a:off x="11020425" y="428625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18</xdr:row>
      <xdr:rowOff>66675</xdr:rowOff>
    </xdr:from>
    <xdr:to>
      <xdr:col>40</xdr:col>
      <xdr:colOff>0</xdr:colOff>
      <xdr:row>18</xdr:row>
      <xdr:rowOff>66675</xdr:rowOff>
    </xdr:to>
    <xdr:sp>
      <xdr:nvSpPr>
        <xdr:cNvPr id="8" name="Line 51"/>
        <xdr:cNvSpPr>
          <a:spLocks/>
        </xdr:cNvSpPr>
      </xdr:nvSpPr>
      <xdr:spPr>
        <a:xfrm>
          <a:off x="9963150" y="26574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38100</xdr:colOff>
      <xdr:row>23</xdr:row>
      <xdr:rowOff>0</xdr:rowOff>
    </xdr:from>
    <xdr:to>
      <xdr:col>28</xdr:col>
      <xdr:colOff>133350</xdr:colOff>
      <xdr:row>24</xdr:row>
      <xdr:rowOff>85725</xdr:rowOff>
    </xdr:to>
    <xdr:sp>
      <xdr:nvSpPr>
        <xdr:cNvPr id="9" name="Line 52"/>
        <xdr:cNvSpPr>
          <a:spLocks/>
        </xdr:cNvSpPr>
      </xdr:nvSpPr>
      <xdr:spPr>
        <a:xfrm>
          <a:off x="7696200" y="3305175"/>
          <a:ext cx="3810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133350</xdr:colOff>
      <xdr:row>19</xdr:row>
      <xdr:rowOff>9525</xdr:rowOff>
    </xdr:from>
    <xdr:to>
      <xdr:col>40</xdr:col>
      <xdr:colOff>0</xdr:colOff>
      <xdr:row>24</xdr:row>
      <xdr:rowOff>85725</xdr:rowOff>
    </xdr:to>
    <xdr:sp>
      <xdr:nvSpPr>
        <xdr:cNvPr id="10" name="Line 53"/>
        <xdr:cNvSpPr>
          <a:spLocks/>
        </xdr:cNvSpPr>
      </xdr:nvSpPr>
      <xdr:spPr>
        <a:xfrm flipV="1">
          <a:off x="8077200" y="2743200"/>
          <a:ext cx="32956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276225</xdr:colOff>
      <xdr:row>18</xdr:row>
      <xdr:rowOff>57150</xdr:rowOff>
    </xdr:from>
    <xdr:to>
      <xdr:col>34</xdr:col>
      <xdr:colOff>9525</xdr:colOff>
      <xdr:row>18</xdr:row>
      <xdr:rowOff>66675</xdr:rowOff>
    </xdr:to>
    <xdr:sp>
      <xdr:nvSpPr>
        <xdr:cNvPr id="11" name="Line 54"/>
        <xdr:cNvSpPr>
          <a:spLocks/>
        </xdr:cNvSpPr>
      </xdr:nvSpPr>
      <xdr:spPr>
        <a:xfrm flipV="1">
          <a:off x="9363075" y="2647950"/>
          <a:ext cx="304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180975</xdr:colOff>
      <xdr:row>17</xdr:row>
      <xdr:rowOff>9525</xdr:rowOff>
    </xdr:from>
    <xdr:to>
      <xdr:col>26</xdr:col>
      <xdr:colOff>180975</xdr:colOff>
      <xdr:row>20</xdr:row>
      <xdr:rowOff>0</xdr:rowOff>
    </xdr:to>
    <xdr:sp>
      <xdr:nvSpPr>
        <xdr:cNvPr id="12" name="Line 55"/>
        <xdr:cNvSpPr>
          <a:spLocks/>
        </xdr:cNvSpPr>
      </xdr:nvSpPr>
      <xdr:spPr>
        <a:xfrm>
          <a:off x="7553325" y="24574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11</xdr:row>
      <xdr:rowOff>9525</xdr:rowOff>
    </xdr:from>
    <xdr:to>
      <xdr:col>36</xdr:col>
      <xdr:colOff>0</xdr:colOff>
      <xdr:row>16</xdr:row>
      <xdr:rowOff>9525</xdr:rowOff>
    </xdr:to>
    <xdr:sp>
      <xdr:nvSpPr>
        <xdr:cNvPr id="13" name="Line 56"/>
        <xdr:cNvSpPr>
          <a:spLocks/>
        </xdr:cNvSpPr>
      </xdr:nvSpPr>
      <xdr:spPr>
        <a:xfrm flipV="1">
          <a:off x="9391650" y="1600200"/>
          <a:ext cx="8382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238125</xdr:colOff>
      <xdr:row>11</xdr:row>
      <xdr:rowOff>9525</xdr:rowOff>
    </xdr:from>
    <xdr:to>
      <xdr:col>36</xdr:col>
      <xdr:colOff>238125</xdr:colOff>
      <xdr:row>15</xdr:row>
      <xdr:rowOff>133350</xdr:rowOff>
    </xdr:to>
    <xdr:sp>
      <xdr:nvSpPr>
        <xdr:cNvPr id="14" name="Line 57"/>
        <xdr:cNvSpPr>
          <a:spLocks/>
        </xdr:cNvSpPr>
      </xdr:nvSpPr>
      <xdr:spPr>
        <a:xfrm>
          <a:off x="10467975" y="16002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276225</xdr:colOff>
      <xdr:row>2</xdr:row>
      <xdr:rowOff>133350</xdr:rowOff>
    </xdr:from>
    <xdr:to>
      <xdr:col>38</xdr:col>
      <xdr:colOff>9525</xdr:colOff>
      <xdr:row>8</xdr:row>
      <xdr:rowOff>0</xdr:rowOff>
    </xdr:to>
    <xdr:sp>
      <xdr:nvSpPr>
        <xdr:cNvPr id="15" name="Line 58"/>
        <xdr:cNvSpPr>
          <a:spLocks/>
        </xdr:cNvSpPr>
      </xdr:nvSpPr>
      <xdr:spPr>
        <a:xfrm flipH="1">
          <a:off x="10506075" y="428625"/>
          <a:ext cx="3048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38100</xdr:rowOff>
    </xdr:from>
    <xdr:to>
      <xdr:col>35</xdr:col>
      <xdr:colOff>276225</xdr:colOff>
      <xdr:row>8</xdr:row>
      <xdr:rowOff>38100</xdr:rowOff>
    </xdr:to>
    <xdr:sp>
      <xdr:nvSpPr>
        <xdr:cNvPr id="16" name="Line 59"/>
        <xdr:cNvSpPr>
          <a:spLocks/>
        </xdr:cNvSpPr>
      </xdr:nvSpPr>
      <xdr:spPr>
        <a:xfrm>
          <a:off x="8801100" y="12001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9</xdr:row>
      <xdr:rowOff>9525</xdr:rowOff>
    </xdr:from>
    <xdr:to>
      <xdr:col>30</xdr:col>
      <xdr:colOff>219075</xdr:colOff>
      <xdr:row>16</xdr:row>
      <xdr:rowOff>0</xdr:rowOff>
    </xdr:to>
    <xdr:sp>
      <xdr:nvSpPr>
        <xdr:cNvPr id="17" name="Line 60"/>
        <xdr:cNvSpPr>
          <a:spLocks/>
        </xdr:cNvSpPr>
      </xdr:nvSpPr>
      <xdr:spPr>
        <a:xfrm>
          <a:off x="8734425" y="1314450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8</xdr:row>
      <xdr:rowOff>57150</xdr:rowOff>
    </xdr:from>
    <xdr:to>
      <xdr:col>29</xdr:col>
      <xdr:colOff>276225</xdr:colOff>
      <xdr:row>8</xdr:row>
      <xdr:rowOff>57150</xdr:rowOff>
    </xdr:to>
    <xdr:sp>
      <xdr:nvSpPr>
        <xdr:cNvPr id="18" name="Line 61"/>
        <xdr:cNvSpPr>
          <a:spLocks/>
        </xdr:cNvSpPr>
      </xdr:nvSpPr>
      <xdr:spPr>
        <a:xfrm>
          <a:off x="7086600" y="12192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219075</xdr:colOff>
      <xdr:row>11</xdr:row>
      <xdr:rowOff>9525</xdr:rowOff>
    </xdr:from>
    <xdr:to>
      <xdr:col>24</xdr:col>
      <xdr:colOff>219075</xdr:colOff>
      <xdr:row>16</xdr:row>
      <xdr:rowOff>9525</xdr:rowOff>
    </xdr:to>
    <xdr:sp>
      <xdr:nvSpPr>
        <xdr:cNvPr id="19" name="Line 62"/>
        <xdr:cNvSpPr>
          <a:spLocks/>
        </xdr:cNvSpPr>
      </xdr:nvSpPr>
      <xdr:spPr>
        <a:xfrm>
          <a:off x="7019925" y="160020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8</xdr:row>
      <xdr:rowOff>57150</xdr:rowOff>
    </xdr:from>
    <xdr:to>
      <xdr:col>21</xdr:col>
      <xdr:colOff>276225</xdr:colOff>
      <xdr:row>8</xdr:row>
      <xdr:rowOff>57150</xdr:rowOff>
    </xdr:to>
    <xdr:sp>
      <xdr:nvSpPr>
        <xdr:cNvPr id="20" name="Line 63"/>
        <xdr:cNvSpPr>
          <a:spLocks/>
        </xdr:cNvSpPr>
      </xdr:nvSpPr>
      <xdr:spPr>
        <a:xfrm>
          <a:off x="5391150" y="12192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219075</xdr:colOff>
      <xdr:row>9</xdr:row>
      <xdr:rowOff>28575</xdr:rowOff>
    </xdr:from>
    <xdr:to>
      <xdr:col>18</xdr:col>
      <xdr:colOff>219075</xdr:colOff>
      <xdr:row>11</xdr:row>
      <xdr:rowOff>133350</xdr:rowOff>
    </xdr:to>
    <xdr:sp>
      <xdr:nvSpPr>
        <xdr:cNvPr id="21" name="Line 64"/>
        <xdr:cNvSpPr>
          <a:spLocks/>
        </xdr:cNvSpPr>
      </xdr:nvSpPr>
      <xdr:spPr>
        <a:xfrm>
          <a:off x="5305425" y="13335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219075</xdr:colOff>
      <xdr:row>13</xdr:row>
      <xdr:rowOff>9525</xdr:rowOff>
    </xdr:from>
    <xdr:to>
      <xdr:col>18</xdr:col>
      <xdr:colOff>219075</xdr:colOff>
      <xdr:row>16</xdr:row>
      <xdr:rowOff>28575</xdr:rowOff>
    </xdr:to>
    <xdr:sp>
      <xdr:nvSpPr>
        <xdr:cNvPr id="22" name="Line 65"/>
        <xdr:cNvSpPr>
          <a:spLocks/>
        </xdr:cNvSpPr>
      </xdr:nvSpPr>
      <xdr:spPr>
        <a:xfrm>
          <a:off x="5305425" y="18859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13</xdr:row>
      <xdr:rowOff>9525</xdr:rowOff>
    </xdr:from>
    <xdr:to>
      <xdr:col>16</xdr:col>
      <xdr:colOff>209550</xdr:colOff>
      <xdr:row>16</xdr:row>
      <xdr:rowOff>9525</xdr:rowOff>
    </xdr:to>
    <xdr:sp>
      <xdr:nvSpPr>
        <xdr:cNvPr id="23" name="Line 66"/>
        <xdr:cNvSpPr>
          <a:spLocks/>
        </xdr:cNvSpPr>
      </xdr:nvSpPr>
      <xdr:spPr>
        <a:xfrm>
          <a:off x="4724400" y="18859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47625</xdr:rowOff>
    </xdr:from>
    <xdr:to>
      <xdr:col>18</xdr:col>
      <xdr:colOff>0</xdr:colOff>
      <xdr:row>8</xdr:row>
      <xdr:rowOff>47625</xdr:rowOff>
    </xdr:to>
    <xdr:sp>
      <xdr:nvSpPr>
        <xdr:cNvPr id="24" name="Line 67"/>
        <xdr:cNvSpPr>
          <a:spLocks/>
        </xdr:cNvSpPr>
      </xdr:nvSpPr>
      <xdr:spPr>
        <a:xfrm>
          <a:off x="4229100" y="12096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13</xdr:row>
      <xdr:rowOff>0</xdr:rowOff>
    </xdr:from>
    <xdr:to>
      <xdr:col>12</xdr:col>
      <xdr:colOff>219075</xdr:colOff>
      <xdr:row>16</xdr:row>
      <xdr:rowOff>9525</xdr:rowOff>
    </xdr:to>
    <xdr:sp>
      <xdr:nvSpPr>
        <xdr:cNvPr id="25" name="Line 68"/>
        <xdr:cNvSpPr>
          <a:spLocks/>
        </xdr:cNvSpPr>
      </xdr:nvSpPr>
      <xdr:spPr>
        <a:xfrm>
          <a:off x="3590925" y="18764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219075</xdr:colOff>
      <xdr:row>9</xdr:row>
      <xdr:rowOff>9525</xdr:rowOff>
    </xdr:from>
    <xdr:to>
      <xdr:col>10</xdr:col>
      <xdr:colOff>219075</xdr:colOff>
      <xdr:row>11</xdr:row>
      <xdr:rowOff>133350</xdr:rowOff>
    </xdr:to>
    <xdr:sp>
      <xdr:nvSpPr>
        <xdr:cNvPr id="26" name="Line 69"/>
        <xdr:cNvSpPr>
          <a:spLocks/>
        </xdr:cNvSpPr>
      </xdr:nvSpPr>
      <xdr:spPr>
        <a:xfrm>
          <a:off x="3019425" y="13144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219075</xdr:colOff>
      <xdr:row>13</xdr:row>
      <xdr:rowOff>9525</xdr:rowOff>
    </xdr:from>
    <xdr:to>
      <xdr:col>10</xdr:col>
      <xdr:colOff>219075</xdr:colOff>
      <xdr:row>16</xdr:row>
      <xdr:rowOff>9525</xdr:rowOff>
    </xdr:to>
    <xdr:sp>
      <xdr:nvSpPr>
        <xdr:cNvPr id="27" name="Line 70"/>
        <xdr:cNvSpPr>
          <a:spLocks/>
        </xdr:cNvSpPr>
      </xdr:nvSpPr>
      <xdr:spPr>
        <a:xfrm>
          <a:off x="3019425" y="18859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9</xdr:row>
      <xdr:rowOff>9525</xdr:rowOff>
    </xdr:from>
    <xdr:to>
      <xdr:col>8</xdr:col>
      <xdr:colOff>209550</xdr:colOff>
      <xdr:row>16</xdr:row>
      <xdr:rowOff>0</xdr:rowOff>
    </xdr:to>
    <xdr:sp>
      <xdr:nvSpPr>
        <xdr:cNvPr id="28" name="Line 71"/>
        <xdr:cNvSpPr>
          <a:spLocks/>
        </xdr:cNvSpPr>
      </xdr:nvSpPr>
      <xdr:spPr>
        <a:xfrm>
          <a:off x="2438400" y="1314450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9</xdr:row>
      <xdr:rowOff>0</xdr:rowOff>
    </xdr:from>
    <xdr:to>
      <xdr:col>2</xdr:col>
      <xdr:colOff>209550</xdr:colOff>
      <xdr:row>16</xdr:row>
      <xdr:rowOff>9525</xdr:rowOff>
    </xdr:to>
    <xdr:sp>
      <xdr:nvSpPr>
        <xdr:cNvPr id="29" name="Line 72"/>
        <xdr:cNvSpPr>
          <a:spLocks/>
        </xdr:cNvSpPr>
      </xdr:nvSpPr>
      <xdr:spPr>
        <a:xfrm>
          <a:off x="781050" y="130492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47625</xdr:rowOff>
    </xdr:from>
    <xdr:to>
      <xdr:col>7</xdr:col>
      <xdr:colOff>266700</xdr:colOff>
      <xdr:row>8</xdr:row>
      <xdr:rowOff>47625</xdr:rowOff>
    </xdr:to>
    <xdr:sp>
      <xdr:nvSpPr>
        <xdr:cNvPr id="30" name="Line 73"/>
        <xdr:cNvSpPr>
          <a:spLocks/>
        </xdr:cNvSpPr>
      </xdr:nvSpPr>
      <xdr:spPr>
        <a:xfrm>
          <a:off x="847725" y="12096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276225</xdr:colOff>
      <xdr:row>9</xdr:row>
      <xdr:rowOff>9525</xdr:rowOff>
    </xdr:from>
    <xdr:to>
      <xdr:col>1</xdr:col>
      <xdr:colOff>276225</xdr:colOff>
      <xdr:row>16</xdr:row>
      <xdr:rowOff>0</xdr:rowOff>
    </xdr:to>
    <xdr:sp>
      <xdr:nvSpPr>
        <xdr:cNvPr id="31" name="Line 74"/>
        <xdr:cNvSpPr>
          <a:spLocks/>
        </xdr:cNvSpPr>
      </xdr:nvSpPr>
      <xdr:spPr>
        <a:xfrm flipH="1">
          <a:off x="276225" y="1314450"/>
          <a:ext cx="28575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209550</xdr:colOff>
      <xdr:row>13</xdr:row>
      <xdr:rowOff>9525</xdr:rowOff>
    </xdr:from>
    <xdr:to>
      <xdr:col>38</xdr:col>
      <xdr:colOff>209550</xdr:colOff>
      <xdr:row>15</xdr:row>
      <xdr:rowOff>133350</xdr:rowOff>
    </xdr:to>
    <xdr:sp>
      <xdr:nvSpPr>
        <xdr:cNvPr id="32" name="Line 89"/>
        <xdr:cNvSpPr>
          <a:spLocks/>
        </xdr:cNvSpPr>
      </xdr:nvSpPr>
      <xdr:spPr>
        <a:xfrm>
          <a:off x="11010900" y="18859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12</xdr:row>
      <xdr:rowOff>66675</xdr:rowOff>
    </xdr:from>
    <xdr:to>
      <xdr:col>41</xdr:col>
      <xdr:colOff>276225</xdr:colOff>
      <xdr:row>12</xdr:row>
      <xdr:rowOff>66675</xdr:rowOff>
    </xdr:to>
    <xdr:sp>
      <xdr:nvSpPr>
        <xdr:cNvPr id="33" name="Line 91"/>
        <xdr:cNvSpPr>
          <a:spLocks/>
        </xdr:cNvSpPr>
      </xdr:nvSpPr>
      <xdr:spPr>
        <a:xfrm>
          <a:off x="11096625" y="18002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104775</xdr:rowOff>
    </xdr:from>
    <xdr:to>
      <xdr:col>7</xdr:col>
      <xdr:colOff>266700</xdr:colOff>
      <xdr:row>16</xdr:row>
      <xdr:rowOff>104775</xdr:rowOff>
    </xdr:to>
    <xdr:sp>
      <xdr:nvSpPr>
        <xdr:cNvPr id="34" name="Line 98"/>
        <xdr:cNvSpPr>
          <a:spLocks/>
        </xdr:cNvSpPr>
      </xdr:nvSpPr>
      <xdr:spPr>
        <a:xfrm>
          <a:off x="847725" y="24098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17</xdr:row>
      <xdr:rowOff>19050</xdr:rowOff>
    </xdr:from>
    <xdr:to>
      <xdr:col>28</xdr:col>
      <xdr:colOff>19050</xdr:colOff>
      <xdr:row>18</xdr:row>
      <xdr:rowOff>104775</xdr:rowOff>
    </xdr:to>
    <xdr:sp>
      <xdr:nvSpPr>
        <xdr:cNvPr id="35" name="Line 99"/>
        <xdr:cNvSpPr>
          <a:spLocks/>
        </xdr:cNvSpPr>
      </xdr:nvSpPr>
      <xdr:spPr>
        <a:xfrm flipV="1">
          <a:off x="7762875" y="2466975"/>
          <a:ext cx="2000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209550</xdr:colOff>
      <xdr:row>17</xdr:row>
      <xdr:rowOff>0</xdr:rowOff>
    </xdr:from>
    <xdr:to>
      <xdr:col>24</xdr:col>
      <xdr:colOff>209550</xdr:colOff>
      <xdr:row>17</xdr:row>
      <xdr:rowOff>76200</xdr:rowOff>
    </xdr:to>
    <xdr:sp>
      <xdr:nvSpPr>
        <xdr:cNvPr id="36" name="Line 100"/>
        <xdr:cNvSpPr>
          <a:spLocks/>
        </xdr:cNvSpPr>
      </xdr:nvSpPr>
      <xdr:spPr>
        <a:xfrm>
          <a:off x="7010400" y="24479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16</xdr:row>
      <xdr:rowOff>133350</xdr:rowOff>
    </xdr:from>
    <xdr:to>
      <xdr:col>28</xdr:col>
      <xdr:colOff>0</xdr:colOff>
      <xdr:row>18</xdr:row>
      <xdr:rowOff>9525</xdr:rowOff>
    </xdr:to>
    <xdr:sp>
      <xdr:nvSpPr>
        <xdr:cNvPr id="37" name="Line 101"/>
        <xdr:cNvSpPr>
          <a:spLocks/>
        </xdr:cNvSpPr>
      </xdr:nvSpPr>
      <xdr:spPr>
        <a:xfrm>
          <a:off x="7658100" y="2438400"/>
          <a:ext cx="2857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19</xdr:row>
      <xdr:rowOff>9525</xdr:rowOff>
    </xdr:from>
    <xdr:to>
      <xdr:col>27</xdr:col>
      <xdr:colOff>276225</xdr:colOff>
      <xdr:row>20</xdr:row>
      <xdr:rowOff>19050</xdr:rowOff>
    </xdr:to>
    <xdr:sp>
      <xdr:nvSpPr>
        <xdr:cNvPr id="38" name="Line 102"/>
        <xdr:cNvSpPr>
          <a:spLocks/>
        </xdr:cNvSpPr>
      </xdr:nvSpPr>
      <xdr:spPr>
        <a:xfrm flipV="1">
          <a:off x="7658100" y="2743200"/>
          <a:ext cx="2762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133350</xdr:colOff>
      <xdr:row>17</xdr:row>
      <xdr:rowOff>0</xdr:rowOff>
    </xdr:from>
    <xdr:to>
      <xdr:col>39</xdr:col>
      <xdr:colOff>276225</xdr:colOff>
      <xdr:row>17</xdr:row>
      <xdr:rowOff>85725</xdr:rowOff>
    </xdr:to>
    <xdr:sp>
      <xdr:nvSpPr>
        <xdr:cNvPr id="39" name="Line 103"/>
        <xdr:cNvSpPr>
          <a:spLocks/>
        </xdr:cNvSpPr>
      </xdr:nvSpPr>
      <xdr:spPr>
        <a:xfrm flipH="1">
          <a:off x="10934700" y="2447925"/>
          <a:ext cx="4286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17</xdr:row>
      <xdr:rowOff>0</xdr:rowOff>
    </xdr:from>
    <xdr:to>
      <xdr:col>38</xdr:col>
      <xdr:colOff>142875</xdr:colOff>
      <xdr:row>17</xdr:row>
      <xdr:rowOff>76200</xdr:rowOff>
    </xdr:to>
    <xdr:sp>
      <xdr:nvSpPr>
        <xdr:cNvPr id="40" name="Line 104"/>
        <xdr:cNvSpPr>
          <a:spLocks/>
        </xdr:cNvSpPr>
      </xdr:nvSpPr>
      <xdr:spPr>
        <a:xfrm>
          <a:off x="10515600" y="2447925"/>
          <a:ext cx="4286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9525</xdr:colOff>
      <xdr:row>16</xdr:row>
      <xdr:rowOff>104775</xdr:rowOff>
    </xdr:from>
    <xdr:to>
      <xdr:col>42</xdr:col>
      <xdr:colOff>0</xdr:colOff>
      <xdr:row>16</xdr:row>
      <xdr:rowOff>104775</xdr:rowOff>
    </xdr:to>
    <xdr:sp>
      <xdr:nvSpPr>
        <xdr:cNvPr id="41" name="Line 105"/>
        <xdr:cNvSpPr>
          <a:spLocks/>
        </xdr:cNvSpPr>
      </xdr:nvSpPr>
      <xdr:spPr>
        <a:xfrm>
          <a:off x="11668125" y="2409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219075</xdr:colOff>
      <xdr:row>17</xdr:row>
      <xdr:rowOff>9525</xdr:rowOff>
    </xdr:from>
    <xdr:to>
      <xdr:col>40</xdr:col>
      <xdr:colOff>219075</xdr:colOff>
      <xdr:row>18</xdr:row>
      <xdr:rowOff>9525</xdr:rowOff>
    </xdr:to>
    <xdr:sp>
      <xdr:nvSpPr>
        <xdr:cNvPr id="42" name="Line 106"/>
        <xdr:cNvSpPr>
          <a:spLocks/>
        </xdr:cNvSpPr>
      </xdr:nvSpPr>
      <xdr:spPr>
        <a:xfrm>
          <a:off x="11591925" y="24574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16</xdr:row>
      <xdr:rowOff>76200</xdr:rowOff>
    </xdr:from>
    <xdr:to>
      <xdr:col>39</xdr:col>
      <xdr:colOff>276225</xdr:colOff>
      <xdr:row>16</xdr:row>
      <xdr:rowOff>76200</xdr:rowOff>
    </xdr:to>
    <xdr:sp>
      <xdr:nvSpPr>
        <xdr:cNvPr id="43" name="Line 107"/>
        <xdr:cNvSpPr>
          <a:spLocks/>
        </xdr:cNvSpPr>
      </xdr:nvSpPr>
      <xdr:spPr>
        <a:xfrm>
          <a:off x="11087100" y="2381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276225</xdr:colOff>
      <xdr:row>16</xdr:row>
      <xdr:rowOff>76200</xdr:rowOff>
    </xdr:from>
    <xdr:to>
      <xdr:col>37</xdr:col>
      <xdr:colOff>276225</xdr:colOff>
      <xdr:row>16</xdr:row>
      <xdr:rowOff>76200</xdr:rowOff>
    </xdr:to>
    <xdr:sp>
      <xdr:nvSpPr>
        <xdr:cNvPr id="44" name="Line 108"/>
        <xdr:cNvSpPr>
          <a:spLocks/>
        </xdr:cNvSpPr>
      </xdr:nvSpPr>
      <xdr:spPr>
        <a:xfrm>
          <a:off x="10506075" y="23812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16</xdr:row>
      <xdr:rowOff>95250</xdr:rowOff>
    </xdr:from>
    <xdr:to>
      <xdr:col>35</xdr:col>
      <xdr:colOff>276225</xdr:colOff>
      <xdr:row>16</xdr:row>
      <xdr:rowOff>95250</xdr:rowOff>
    </xdr:to>
    <xdr:sp>
      <xdr:nvSpPr>
        <xdr:cNvPr id="45" name="Line 109"/>
        <xdr:cNvSpPr>
          <a:spLocks/>
        </xdr:cNvSpPr>
      </xdr:nvSpPr>
      <xdr:spPr>
        <a:xfrm>
          <a:off x="9944100" y="24003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16</xdr:row>
      <xdr:rowOff>95250</xdr:rowOff>
    </xdr:from>
    <xdr:to>
      <xdr:col>33</xdr:col>
      <xdr:colOff>276225</xdr:colOff>
      <xdr:row>16</xdr:row>
      <xdr:rowOff>95250</xdr:rowOff>
    </xdr:to>
    <xdr:sp>
      <xdr:nvSpPr>
        <xdr:cNvPr id="46" name="Line 110"/>
        <xdr:cNvSpPr>
          <a:spLocks/>
        </xdr:cNvSpPr>
      </xdr:nvSpPr>
      <xdr:spPr>
        <a:xfrm>
          <a:off x="9372600" y="24003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95250</xdr:rowOff>
    </xdr:from>
    <xdr:to>
      <xdr:col>31</xdr:col>
      <xdr:colOff>266700</xdr:colOff>
      <xdr:row>16</xdr:row>
      <xdr:rowOff>95250</xdr:rowOff>
    </xdr:to>
    <xdr:sp>
      <xdr:nvSpPr>
        <xdr:cNvPr id="47" name="Line 111"/>
        <xdr:cNvSpPr>
          <a:spLocks/>
        </xdr:cNvSpPr>
      </xdr:nvSpPr>
      <xdr:spPr>
        <a:xfrm>
          <a:off x="8801100" y="24003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16</xdr:row>
      <xdr:rowOff>85725</xdr:rowOff>
    </xdr:from>
    <xdr:to>
      <xdr:col>29</xdr:col>
      <xdr:colOff>276225</xdr:colOff>
      <xdr:row>16</xdr:row>
      <xdr:rowOff>85725</xdr:rowOff>
    </xdr:to>
    <xdr:sp>
      <xdr:nvSpPr>
        <xdr:cNvPr id="48" name="Line 112"/>
        <xdr:cNvSpPr>
          <a:spLocks/>
        </xdr:cNvSpPr>
      </xdr:nvSpPr>
      <xdr:spPr>
        <a:xfrm>
          <a:off x="8229600" y="2390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123825</xdr:rowOff>
    </xdr:from>
    <xdr:to>
      <xdr:col>31</xdr:col>
      <xdr:colOff>276225</xdr:colOff>
      <xdr:row>17</xdr:row>
      <xdr:rowOff>133350</xdr:rowOff>
    </xdr:to>
    <xdr:sp>
      <xdr:nvSpPr>
        <xdr:cNvPr id="49" name="Line 113"/>
        <xdr:cNvSpPr>
          <a:spLocks/>
        </xdr:cNvSpPr>
      </xdr:nvSpPr>
      <xdr:spPr>
        <a:xfrm>
          <a:off x="8801100" y="2428875"/>
          <a:ext cx="2762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18</xdr:row>
      <xdr:rowOff>95250</xdr:rowOff>
    </xdr:from>
    <xdr:to>
      <xdr:col>29</xdr:col>
      <xdr:colOff>276225</xdr:colOff>
      <xdr:row>18</xdr:row>
      <xdr:rowOff>95250</xdr:rowOff>
    </xdr:to>
    <xdr:sp>
      <xdr:nvSpPr>
        <xdr:cNvPr id="50" name="Line 114"/>
        <xdr:cNvSpPr>
          <a:spLocks/>
        </xdr:cNvSpPr>
      </xdr:nvSpPr>
      <xdr:spPr>
        <a:xfrm>
          <a:off x="8229600" y="26860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209550</xdr:colOff>
      <xdr:row>19</xdr:row>
      <xdr:rowOff>0</xdr:rowOff>
    </xdr:from>
    <xdr:to>
      <xdr:col>32</xdr:col>
      <xdr:colOff>209550</xdr:colOff>
      <xdr:row>20</xdr:row>
      <xdr:rowOff>0</xdr:rowOff>
    </xdr:to>
    <xdr:sp>
      <xdr:nvSpPr>
        <xdr:cNvPr id="51" name="Line 115"/>
        <xdr:cNvSpPr>
          <a:spLocks/>
        </xdr:cNvSpPr>
      </xdr:nvSpPr>
      <xdr:spPr>
        <a:xfrm>
          <a:off x="9296400" y="27336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20</xdr:row>
      <xdr:rowOff>104775</xdr:rowOff>
    </xdr:from>
    <xdr:to>
      <xdr:col>32</xdr:col>
      <xdr:colOff>0</xdr:colOff>
      <xdr:row>20</xdr:row>
      <xdr:rowOff>104775</xdr:rowOff>
    </xdr:to>
    <xdr:sp>
      <xdr:nvSpPr>
        <xdr:cNvPr id="52" name="Line 116"/>
        <xdr:cNvSpPr>
          <a:spLocks/>
        </xdr:cNvSpPr>
      </xdr:nvSpPr>
      <xdr:spPr>
        <a:xfrm>
          <a:off x="8810625" y="29813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276225</xdr:colOff>
      <xdr:row>21</xdr:row>
      <xdr:rowOff>9525</xdr:rowOff>
    </xdr:from>
    <xdr:to>
      <xdr:col>31</xdr:col>
      <xdr:colOff>276225</xdr:colOff>
      <xdr:row>22</xdr:row>
      <xdr:rowOff>9525</xdr:rowOff>
    </xdr:to>
    <xdr:sp>
      <xdr:nvSpPr>
        <xdr:cNvPr id="53" name="Line 117"/>
        <xdr:cNvSpPr>
          <a:spLocks/>
        </xdr:cNvSpPr>
      </xdr:nvSpPr>
      <xdr:spPr>
        <a:xfrm flipH="1">
          <a:off x="8791575" y="3028950"/>
          <a:ext cx="2857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200025</xdr:colOff>
      <xdr:row>21</xdr:row>
      <xdr:rowOff>9525</xdr:rowOff>
    </xdr:from>
    <xdr:to>
      <xdr:col>30</xdr:col>
      <xdr:colOff>200025</xdr:colOff>
      <xdr:row>21</xdr:row>
      <xdr:rowOff>133350</xdr:rowOff>
    </xdr:to>
    <xdr:sp>
      <xdr:nvSpPr>
        <xdr:cNvPr id="54" name="Line 118"/>
        <xdr:cNvSpPr>
          <a:spLocks/>
        </xdr:cNvSpPr>
      </xdr:nvSpPr>
      <xdr:spPr>
        <a:xfrm>
          <a:off x="8715375" y="30289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</xdr:colOff>
      <xdr:row>22</xdr:row>
      <xdr:rowOff>104775</xdr:rowOff>
    </xdr:from>
    <xdr:to>
      <xdr:col>29</xdr:col>
      <xdr:colOff>257175</xdr:colOff>
      <xdr:row>22</xdr:row>
      <xdr:rowOff>104775</xdr:rowOff>
    </xdr:to>
    <xdr:sp>
      <xdr:nvSpPr>
        <xdr:cNvPr id="55" name="Line 119"/>
        <xdr:cNvSpPr>
          <a:spLocks/>
        </xdr:cNvSpPr>
      </xdr:nvSpPr>
      <xdr:spPr>
        <a:xfrm flipH="1">
          <a:off x="7667625" y="32670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20</xdr:row>
      <xdr:rowOff>104775</xdr:rowOff>
    </xdr:from>
    <xdr:to>
      <xdr:col>27</xdr:col>
      <xdr:colOff>276225</xdr:colOff>
      <xdr:row>20</xdr:row>
      <xdr:rowOff>104775</xdr:rowOff>
    </xdr:to>
    <xdr:sp>
      <xdr:nvSpPr>
        <xdr:cNvPr id="56" name="Line 120"/>
        <xdr:cNvSpPr>
          <a:spLocks/>
        </xdr:cNvSpPr>
      </xdr:nvSpPr>
      <xdr:spPr>
        <a:xfrm>
          <a:off x="7658100" y="29813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200025</xdr:colOff>
      <xdr:row>21</xdr:row>
      <xdr:rowOff>0</xdr:rowOff>
    </xdr:from>
    <xdr:to>
      <xdr:col>26</xdr:col>
      <xdr:colOff>200025</xdr:colOff>
      <xdr:row>22</xdr:row>
      <xdr:rowOff>0</xdr:rowOff>
    </xdr:to>
    <xdr:sp>
      <xdr:nvSpPr>
        <xdr:cNvPr id="57" name="Line 121"/>
        <xdr:cNvSpPr>
          <a:spLocks/>
        </xdr:cNvSpPr>
      </xdr:nvSpPr>
      <xdr:spPr>
        <a:xfrm>
          <a:off x="7572375" y="30194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276225</xdr:colOff>
      <xdr:row>16</xdr:row>
      <xdr:rowOff>95250</xdr:rowOff>
    </xdr:from>
    <xdr:to>
      <xdr:col>28</xdr:col>
      <xdr:colOff>0</xdr:colOff>
      <xdr:row>16</xdr:row>
      <xdr:rowOff>95250</xdr:rowOff>
    </xdr:to>
    <xdr:sp>
      <xdr:nvSpPr>
        <xdr:cNvPr id="58" name="Line 122"/>
        <xdr:cNvSpPr>
          <a:spLocks/>
        </xdr:cNvSpPr>
      </xdr:nvSpPr>
      <xdr:spPr>
        <a:xfrm>
          <a:off x="7648575" y="24003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266700</xdr:colOff>
      <xdr:row>16</xdr:row>
      <xdr:rowOff>85725</xdr:rowOff>
    </xdr:from>
    <xdr:to>
      <xdr:col>25</xdr:col>
      <xdr:colOff>276225</xdr:colOff>
      <xdr:row>16</xdr:row>
      <xdr:rowOff>85725</xdr:rowOff>
    </xdr:to>
    <xdr:sp>
      <xdr:nvSpPr>
        <xdr:cNvPr id="59" name="Line 123"/>
        <xdr:cNvSpPr>
          <a:spLocks/>
        </xdr:cNvSpPr>
      </xdr:nvSpPr>
      <xdr:spPr>
        <a:xfrm>
          <a:off x="7067550" y="23907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16</xdr:row>
      <xdr:rowOff>95250</xdr:rowOff>
    </xdr:from>
    <xdr:to>
      <xdr:col>23</xdr:col>
      <xdr:colOff>276225</xdr:colOff>
      <xdr:row>16</xdr:row>
      <xdr:rowOff>95250</xdr:rowOff>
    </xdr:to>
    <xdr:sp>
      <xdr:nvSpPr>
        <xdr:cNvPr id="60" name="Line 124"/>
        <xdr:cNvSpPr>
          <a:spLocks/>
        </xdr:cNvSpPr>
      </xdr:nvSpPr>
      <xdr:spPr>
        <a:xfrm>
          <a:off x="6515100" y="24003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16</xdr:row>
      <xdr:rowOff>95250</xdr:rowOff>
    </xdr:from>
    <xdr:to>
      <xdr:col>21</xdr:col>
      <xdr:colOff>276225</xdr:colOff>
      <xdr:row>16</xdr:row>
      <xdr:rowOff>95250</xdr:rowOff>
    </xdr:to>
    <xdr:sp>
      <xdr:nvSpPr>
        <xdr:cNvPr id="61" name="Line 125"/>
        <xdr:cNvSpPr>
          <a:spLocks/>
        </xdr:cNvSpPr>
      </xdr:nvSpPr>
      <xdr:spPr>
        <a:xfrm>
          <a:off x="5943600" y="24003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276225</xdr:colOff>
      <xdr:row>8</xdr:row>
      <xdr:rowOff>66675</xdr:rowOff>
    </xdr:from>
    <xdr:to>
      <xdr:col>23</xdr:col>
      <xdr:colOff>276225</xdr:colOff>
      <xdr:row>8</xdr:row>
      <xdr:rowOff>66675</xdr:rowOff>
    </xdr:to>
    <xdr:sp>
      <xdr:nvSpPr>
        <xdr:cNvPr id="62" name="Line 126"/>
        <xdr:cNvSpPr>
          <a:spLocks/>
        </xdr:cNvSpPr>
      </xdr:nvSpPr>
      <xdr:spPr>
        <a:xfrm>
          <a:off x="6505575" y="12287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104775</xdr:rowOff>
    </xdr:from>
    <xdr:to>
      <xdr:col>20</xdr:col>
      <xdr:colOff>0</xdr:colOff>
      <xdr:row>16</xdr:row>
      <xdr:rowOff>104775</xdr:rowOff>
    </xdr:to>
    <xdr:sp>
      <xdr:nvSpPr>
        <xdr:cNvPr id="63" name="Line 127"/>
        <xdr:cNvSpPr>
          <a:spLocks/>
        </xdr:cNvSpPr>
      </xdr:nvSpPr>
      <xdr:spPr>
        <a:xfrm>
          <a:off x="5372100" y="24098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276225</xdr:colOff>
      <xdr:row>16</xdr:row>
      <xdr:rowOff>95250</xdr:rowOff>
    </xdr:from>
    <xdr:to>
      <xdr:col>17</xdr:col>
      <xdr:colOff>276225</xdr:colOff>
      <xdr:row>16</xdr:row>
      <xdr:rowOff>95250</xdr:rowOff>
    </xdr:to>
    <xdr:sp>
      <xdr:nvSpPr>
        <xdr:cNvPr id="64" name="Line 128"/>
        <xdr:cNvSpPr>
          <a:spLocks/>
        </xdr:cNvSpPr>
      </xdr:nvSpPr>
      <xdr:spPr>
        <a:xfrm>
          <a:off x="4791075" y="24003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12</xdr:row>
      <xdr:rowOff>95250</xdr:rowOff>
    </xdr:from>
    <xdr:to>
      <xdr:col>17</xdr:col>
      <xdr:colOff>276225</xdr:colOff>
      <xdr:row>12</xdr:row>
      <xdr:rowOff>95250</xdr:rowOff>
    </xdr:to>
    <xdr:sp>
      <xdr:nvSpPr>
        <xdr:cNvPr id="65" name="Line 129"/>
        <xdr:cNvSpPr>
          <a:spLocks/>
        </xdr:cNvSpPr>
      </xdr:nvSpPr>
      <xdr:spPr>
        <a:xfrm>
          <a:off x="4810125" y="18288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95250</xdr:rowOff>
    </xdr:from>
    <xdr:to>
      <xdr:col>16</xdr:col>
      <xdr:colOff>0</xdr:colOff>
      <xdr:row>12</xdr:row>
      <xdr:rowOff>95250</xdr:rowOff>
    </xdr:to>
    <xdr:sp>
      <xdr:nvSpPr>
        <xdr:cNvPr id="66" name="Line 130"/>
        <xdr:cNvSpPr>
          <a:spLocks/>
        </xdr:cNvSpPr>
      </xdr:nvSpPr>
      <xdr:spPr>
        <a:xfrm>
          <a:off x="4229100" y="18288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15</xdr:row>
      <xdr:rowOff>0</xdr:rowOff>
    </xdr:from>
    <xdr:to>
      <xdr:col>16</xdr:col>
      <xdr:colOff>9525</xdr:colOff>
      <xdr:row>16</xdr:row>
      <xdr:rowOff>9525</xdr:rowOff>
    </xdr:to>
    <xdr:sp>
      <xdr:nvSpPr>
        <xdr:cNvPr id="67" name="Line 131"/>
        <xdr:cNvSpPr>
          <a:spLocks/>
        </xdr:cNvSpPr>
      </xdr:nvSpPr>
      <xdr:spPr>
        <a:xfrm>
          <a:off x="4238625" y="2162175"/>
          <a:ext cx="2857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16</xdr:row>
      <xdr:rowOff>95250</xdr:rowOff>
    </xdr:from>
    <xdr:to>
      <xdr:col>16</xdr:col>
      <xdr:colOff>0</xdr:colOff>
      <xdr:row>16</xdr:row>
      <xdr:rowOff>95250</xdr:rowOff>
    </xdr:to>
    <xdr:sp>
      <xdr:nvSpPr>
        <xdr:cNvPr id="68" name="Line 132"/>
        <xdr:cNvSpPr>
          <a:spLocks/>
        </xdr:cNvSpPr>
      </xdr:nvSpPr>
      <xdr:spPr>
        <a:xfrm>
          <a:off x="4238625" y="24003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95250</xdr:rowOff>
    </xdr:from>
    <xdr:to>
      <xdr:col>14</xdr:col>
      <xdr:colOff>0</xdr:colOff>
      <xdr:row>16</xdr:row>
      <xdr:rowOff>95250</xdr:rowOff>
    </xdr:to>
    <xdr:sp>
      <xdr:nvSpPr>
        <xdr:cNvPr id="69" name="Line 133"/>
        <xdr:cNvSpPr>
          <a:spLocks/>
        </xdr:cNvSpPr>
      </xdr:nvSpPr>
      <xdr:spPr>
        <a:xfrm>
          <a:off x="3657600" y="24003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133350</xdr:rowOff>
    </xdr:from>
    <xdr:to>
      <xdr:col>14</xdr:col>
      <xdr:colOff>200025</xdr:colOff>
      <xdr:row>15</xdr:row>
      <xdr:rowOff>133350</xdr:rowOff>
    </xdr:to>
    <xdr:sp>
      <xdr:nvSpPr>
        <xdr:cNvPr id="70" name="Line 134"/>
        <xdr:cNvSpPr>
          <a:spLocks/>
        </xdr:cNvSpPr>
      </xdr:nvSpPr>
      <xdr:spPr>
        <a:xfrm>
          <a:off x="4143375" y="21526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0</xdr:rowOff>
    </xdr:from>
    <xdr:to>
      <xdr:col>14</xdr:col>
      <xdr:colOff>200025</xdr:colOff>
      <xdr:row>13</xdr:row>
      <xdr:rowOff>133350</xdr:rowOff>
    </xdr:to>
    <xdr:sp>
      <xdr:nvSpPr>
        <xdr:cNvPr id="71" name="Line 135"/>
        <xdr:cNvSpPr>
          <a:spLocks/>
        </xdr:cNvSpPr>
      </xdr:nvSpPr>
      <xdr:spPr>
        <a:xfrm>
          <a:off x="4143375" y="1876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11</xdr:row>
      <xdr:rowOff>19050</xdr:rowOff>
    </xdr:from>
    <xdr:to>
      <xdr:col>14</xdr:col>
      <xdr:colOff>209550</xdr:colOff>
      <xdr:row>11</xdr:row>
      <xdr:rowOff>133350</xdr:rowOff>
    </xdr:to>
    <xdr:sp>
      <xdr:nvSpPr>
        <xdr:cNvPr id="72" name="Line 136"/>
        <xdr:cNvSpPr>
          <a:spLocks/>
        </xdr:cNvSpPr>
      </xdr:nvSpPr>
      <xdr:spPr>
        <a:xfrm>
          <a:off x="4152900" y="16097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8</xdr:row>
      <xdr:rowOff>133350</xdr:rowOff>
    </xdr:from>
    <xdr:to>
      <xdr:col>14</xdr:col>
      <xdr:colOff>209550</xdr:colOff>
      <xdr:row>10</xdr:row>
      <xdr:rowOff>0</xdr:rowOff>
    </xdr:to>
    <xdr:sp>
      <xdr:nvSpPr>
        <xdr:cNvPr id="73" name="Line 137"/>
        <xdr:cNvSpPr>
          <a:spLocks/>
        </xdr:cNvSpPr>
      </xdr:nvSpPr>
      <xdr:spPr>
        <a:xfrm>
          <a:off x="4152900" y="1295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266700</xdr:colOff>
      <xdr:row>8</xdr:row>
      <xdr:rowOff>95250</xdr:rowOff>
    </xdr:from>
    <xdr:to>
      <xdr:col>13</xdr:col>
      <xdr:colOff>276225</xdr:colOff>
      <xdr:row>8</xdr:row>
      <xdr:rowOff>95250</xdr:rowOff>
    </xdr:to>
    <xdr:sp>
      <xdr:nvSpPr>
        <xdr:cNvPr id="74" name="Line 138"/>
        <xdr:cNvSpPr>
          <a:spLocks/>
        </xdr:cNvSpPr>
      </xdr:nvSpPr>
      <xdr:spPr>
        <a:xfrm>
          <a:off x="3638550" y="12573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85725</xdr:rowOff>
    </xdr:from>
    <xdr:to>
      <xdr:col>13</xdr:col>
      <xdr:colOff>266700</xdr:colOff>
      <xdr:row>10</xdr:row>
      <xdr:rowOff>85725</xdr:rowOff>
    </xdr:to>
    <xdr:sp>
      <xdr:nvSpPr>
        <xdr:cNvPr id="75" name="Line 139"/>
        <xdr:cNvSpPr>
          <a:spLocks/>
        </xdr:cNvSpPr>
      </xdr:nvSpPr>
      <xdr:spPr>
        <a:xfrm>
          <a:off x="3657600" y="15335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9</xdr:row>
      <xdr:rowOff>9525</xdr:rowOff>
    </xdr:from>
    <xdr:to>
      <xdr:col>12</xdr:col>
      <xdr:colOff>219075</xdr:colOff>
      <xdr:row>9</xdr:row>
      <xdr:rowOff>133350</xdr:rowOff>
    </xdr:to>
    <xdr:sp>
      <xdr:nvSpPr>
        <xdr:cNvPr id="76" name="Line 140"/>
        <xdr:cNvSpPr>
          <a:spLocks/>
        </xdr:cNvSpPr>
      </xdr:nvSpPr>
      <xdr:spPr>
        <a:xfrm>
          <a:off x="3590925" y="13144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11</xdr:row>
      <xdr:rowOff>0</xdr:rowOff>
    </xdr:from>
    <xdr:to>
      <xdr:col>12</xdr:col>
      <xdr:colOff>219075</xdr:colOff>
      <xdr:row>12</xdr:row>
      <xdr:rowOff>19050</xdr:rowOff>
    </xdr:to>
    <xdr:sp>
      <xdr:nvSpPr>
        <xdr:cNvPr id="77" name="Line 141"/>
        <xdr:cNvSpPr>
          <a:spLocks/>
        </xdr:cNvSpPr>
      </xdr:nvSpPr>
      <xdr:spPr>
        <a:xfrm>
          <a:off x="3590925" y="15906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12</xdr:row>
      <xdr:rowOff>104775</xdr:rowOff>
    </xdr:from>
    <xdr:to>
      <xdr:col>11</xdr:col>
      <xdr:colOff>276225</xdr:colOff>
      <xdr:row>12</xdr:row>
      <xdr:rowOff>104775</xdr:rowOff>
    </xdr:to>
    <xdr:sp>
      <xdr:nvSpPr>
        <xdr:cNvPr id="78" name="Line 142"/>
        <xdr:cNvSpPr>
          <a:spLocks/>
        </xdr:cNvSpPr>
      </xdr:nvSpPr>
      <xdr:spPr>
        <a:xfrm>
          <a:off x="3076575" y="18383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11</xdr:col>
      <xdr:colOff>276225</xdr:colOff>
      <xdr:row>16</xdr:row>
      <xdr:rowOff>95250</xdr:rowOff>
    </xdr:to>
    <xdr:sp>
      <xdr:nvSpPr>
        <xdr:cNvPr id="79" name="Line 143"/>
        <xdr:cNvSpPr>
          <a:spLocks/>
        </xdr:cNvSpPr>
      </xdr:nvSpPr>
      <xdr:spPr>
        <a:xfrm>
          <a:off x="3086100" y="24003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95250</xdr:rowOff>
    </xdr:from>
    <xdr:to>
      <xdr:col>11</xdr:col>
      <xdr:colOff>276225</xdr:colOff>
      <xdr:row>8</xdr:row>
      <xdr:rowOff>95250</xdr:rowOff>
    </xdr:to>
    <xdr:sp>
      <xdr:nvSpPr>
        <xdr:cNvPr id="80" name="Line 144"/>
        <xdr:cNvSpPr>
          <a:spLocks/>
        </xdr:cNvSpPr>
      </xdr:nvSpPr>
      <xdr:spPr>
        <a:xfrm>
          <a:off x="3086100" y="12573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85725</xdr:rowOff>
    </xdr:from>
    <xdr:to>
      <xdr:col>9</xdr:col>
      <xdr:colOff>276225</xdr:colOff>
      <xdr:row>8</xdr:row>
      <xdr:rowOff>85725</xdr:rowOff>
    </xdr:to>
    <xdr:sp>
      <xdr:nvSpPr>
        <xdr:cNvPr id="81" name="Line 145"/>
        <xdr:cNvSpPr>
          <a:spLocks/>
        </xdr:cNvSpPr>
      </xdr:nvSpPr>
      <xdr:spPr>
        <a:xfrm>
          <a:off x="2514600" y="1247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16</xdr:row>
      <xdr:rowOff>95250</xdr:rowOff>
    </xdr:from>
    <xdr:to>
      <xdr:col>9</xdr:col>
      <xdr:colOff>276225</xdr:colOff>
      <xdr:row>16</xdr:row>
      <xdr:rowOff>95250</xdr:rowOff>
    </xdr:to>
    <xdr:sp>
      <xdr:nvSpPr>
        <xdr:cNvPr id="82" name="Line 146"/>
        <xdr:cNvSpPr>
          <a:spLocks/>
        </xdr:cNvSpPr>
      </xdr:nvSpPr>
      <xdr:spPr>
        <a:xfrm>
          <a:off x="2505075" y="24003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85725</xdr:rowOff>
    </xdr:from>
    <xdr:to>
      <xdr:col>1</xdr:col>
      <xdr:colOff>276225</xdr:colOff>
      <xdr:row>16</xdr:row>
      <xdr:rowOff>85725</xdr:rowOff>
    </xdr:to>
    <xdr:sp>
      <xdr:nvSpPr>
        <xdr:cNvPr id="83" name="Line 147"/>
        <xdr:cNvSpPr>
          <a:spLocks/>
        </xdr:cNvSpPr>
      </xdr:nvSpPr>
      <xdr:spPr>
        <a:xfrm>
          <a:off x="285750" y="2390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76200</xdr:rowOff>
    </xdr:from>
    <xdr:to>
      <xdr:col>31</xdr:col>
      <xdr:colOff>266700</xdr:colOff>
      <xdr:row>18</xdr:row>
      <xdr:rowOff>76200</xdr:rowOff>
    </xdr:to>
    <xdr:sp>
      <xdr:nvSpPr>
        <xdr:cNvPr id="84" name="直線コネクタ 85"/>
        <xdr:cNvSpPr>
          <a:spLocks/>
        </xdr:cNvSpPr>
      </xdr:nvSpPr>
      <xdr:spPr>
        <a:xfrm>
          <a:off x="8801100" y="2667000"/>
          <a:ext cx="26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276225</xdr:colOff>
      <xdr:row>19</xdr:row>
      <xdr:rowOff>0</xdr:rowOff>
    </xdr:from>
    <xdr:to>
      <xdr:col>29</xdr:col>
      <xdr:colOff>276225</xdr:colOff>
      <xdr:row>20</xdr:row>
      <xdr:rowOff>9525</xdr:rowOff>
    </xdr:to>
    <xdr:sp>
      <xdr:nvSpPr>
        <xdr:cNvPr id="85" name="直線コネクタ 87"/>
        <xdr:cNvSpPr>
          <a:spLocks/>
        </xdr:cNvSpPr>
      </xdr:nvSpPr>
      <xdr:spPr>
        <a:xfrm flipV="1">
          <a:off x="8220075" y="2733675"/>
          <a:ext cx="28575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20</xdr:row>
      <xdr:rowOff>114300</xdr:rowOff>
    </xdr:from>
    <xdr:to>
      <xdr:col>29</xdr:col>
      <xdr:colOff>276225</xdr:colOff>
      <xdr:row>20</xdr:row>
      <xdr:rowOff>114300</xdr:rowOff>
    </xdr:to>
    <xdr:sp>
      <xdr:nvSpPr>
        <xdr:cNvPr id="86" name="直線コネクタ 89"/>
        <xdr:cNvSpPr>
          <a:spLocks/>
        </xdr:cNvSpPr>
      </xdr:nvSpPr>
      <xdr:spPr>
        <a:xfrm>
          <a:off x="8229600" y="299085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27</xdr:row>
      <xdr:rowOff>0</xdr:rowOff>
    </xdr:from>
    <xdr:to>
      <xdr:col>22</xdr:col>
      <xdr:colOff>0</xdr:colOff>
      <xdr:row>29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4867275" y="3876675"/>
          <a:ext cx="14192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85725</xdr:rowOff>
    </xdr:from>
    <xdr:to>
      <xdr:col>28</xdr:col>
      <xdr:colOff>0</xdr:colOff>
      <xdr:row>31</xdr:row>
      <xdr:rowOff>38100</xdr:rowOff>
    </xdr:to>
    <xdr:sp>
      <xdr:nvSpPr>
        <xdr:cNvPr id="2" name="Line 2"/>
        <xdr:cNvSpPr>
          <a:spLocks/>
        </xdr:cNvSpPr>
      </xdr:nvSpPr>
      <xdr:spPr>
        <a:xfrm>
          <a:off x="6572250" y="3819525"/>
          <a:ext cx="142875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133350</xdr:rowOff>
    </xdr:from>
    <xdr:to>
      <xdr:col>15</xdr:col>
      <xdr:colOff>104775</xdr:colOff>
      <xdr:row>31</xdr:row>
      <xdr:rowOff>104775</xdr:rowOff>
    </xdr:to>
    <xdr:sp>
      <xdr:nvSpPr>
        <xdr:cNvPr id="3" name="Line 3"/>
        <xdr:cNvSpPr>
          <a:spLocks/>
        </xdr:cNvSpPr>
      </xdr:nvSpPr>
      <xdr:spPr>
        <a:xfrm>
          <a:off x="3714750" y="4295775"/>
          <a:ext cx="6762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30</xdr:row>
      <xdr:rowOff>0</xdr:rowOff>
    </xdr:from>
    <xdr:to>
      <xdr:col>18</xdr:col>
      <xdr:colOff>0</xdr:colOff>
      <xdr:row>31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4400550" y="4305300"/>
          <a:ext cx="7429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30</xdr:row>
      <xdr:rowOff>0</xdr:rowOff>
    </xdr:from>
    <xdr:to>
      <xdr:col>14</xdr:col>
      <xdr:colOff>9525</xdr:colOff>
      <xdr:row>31</xdr:row>
      <xdr:rowOff>85725</xdr:rowOff>
    </xdr:to>
    <xdr:sp>
      <xdr:nvSpPr>
        <xdr:cNvPr id="5" name="Line 5"/>
        <xdr:cNvSpPr>
          <a:spLocks/>
        </xdr:cNvSpPr>
      </xdr:nvSpPr>
      <xdr:spPr>
        <a:xfrm flipV="1">
          <a:off x="3009900" y="4305300"/>
          <a:ext cx="10001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142875</xdr:colOff>
      <xdr:row>31</xdr:row>
      <xdr:rowOff>85725</xdr:rowOff>
    </xdr:to>
    <xdr:sp>
      <xdr:nvSpPr>
        <xdr:cNvPr id="6" name="Line 6"/>
        <xdr:cNvSpPr>
          <a:spLocks/>
        </xdr:cNvSpPr>
      </xdr:nvSpPr>
      <xdr:spPr>
        <a:xfrm>
          <a:off x="2571750" y="4305300"/>
          <a:ext cx="4286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9525</xdr:rowOff>
    </xdr:from>
    <xdr:to>
      <xdr:col>14</xdr:col>
      <xdr:colOff>0</xdr:colOff>
      <xdr:row>13</xdr:row>
      <xdr:rowOff>123825</xdr:rowOff>
    </xdr:to>
    <xdr:sp>
      <xdr:nvSpPr>
        <xdr:cNvPr id="7" name="Line 12"/>
        <xdr:cNvSpPr>
          <a:spLocks/>
        </xdr:cNvSpPr>
      </xdr:nvSpPr>
      <xdr:spPr>
        <a:xfrm flipV="1">
          <a:off x="2000250" y="1743075"/>
          <a:ext cx="20002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11</xdr:row>
      <xdr:rowOff>133350</xdr:rowOff>
    </xdr:from>
    <xdr:to>
      <xdr:col>6</xdr:col>
      <xdr:colOff>0</xdr:colOff>
      <xdr:row>15</xdr:row>
      <xdr:rowOff>9525</xdr:rowOff>
    </xdr:to>
    <xdr:sp>
      <xdr:nvSpPr>
        <xdr:cNvPr id="8" name="Line 13"/>
        <xdr:cNvSpPr>
          <a:spLocks/>
        </xdr:cNvSpPr>
      </xdr:nvSpPr>
      <xdr:spPr>
        <a:xfrm flipV="1">
          <a:off x="1400175" y="1724025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123825</xdr:rowOff>
    </xdr:from>
    <xdr:to>
      <xdr:col>10</xdr:col>
      <xdr:colOff>0</xdr:colOff>
      <xdr:row>11</xdr:row>
      <xdr:rowOff>0</xdr:rowOff>
    </xdr:to>
    <xdr:sp>
      <xdr:nvSpPr>
        <xdr:cNvPr id="9" name="Line 14"/>
        <xdr:cNvSpPr>
          <a:spLocks/>
        </xdr:cNvSpPr>
      </xdr:nvSpPr>
      <xdr:spPr>
        <a:xfrm flipV="1">
          <a:off x="2000250" y="1428750"/>
          <a:ext cx="8572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9525</xdr:colOff>
      <xdr:row>6</xdr:row>
      <xdr:rowOff>0</xdr:rowOff>
    </xdr:from>
    <xdr:to>
      <xdr:col>36</xdr:col>
      <xdr:colOff>9525</xdr:colOff>
      <xdr:row>10</xdr:row>
      <xdr:rowOff>133350</xdr:rowOff>
    </xdr:to>
    <xdr:sp>
      <xdr:nvSpPr>
        <xdr:cNvPr id="10" name="Line 15"/>
        <xdr:cNvSpPr>
          <a:spLocks/>
        </xdr:cNvSpPr>
      </xdr:nvSpPr>
      <xdr:spPr>
        <a:xfrm>
          <a:off x="9467850" y="876300"/>
          <a:ext cx="8572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66675</xdr:rowOff>
    </xdr:from>
    <xdr:to>
      <xdr:col>29</xdr:col>
      <xdr:colOff>276225</xdr:colOff>
      <xdr:row>7</xdr:row>
      <xdr:rowOff>66675</xdr:rowOff>
    </xdr:to>
    <xdr:sp>
      <xdr:nvSpPr>
        <xdr:cNvPr id="11" name="Line 24"/>
        <xdr:cNvSpPr>
          <a:spLocks/>
        </xdr:cNvSpPr>
      </xdr:nvSpPr>
      <xdr:spPr>
        <a:xfrm>
          <a:off x="7153275" y="10858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57150</xdr:rowOff>
    </xdr:from>
    <xdr:to>
      <xdr:col>29</xdr:col>
      <xdr:colOff>276225</xdr:colOff>
      <xdr:row>13</xdr:row>
      <xdr:rowOff>57150</xdr:rowOff>
    </xdr:to>
    <xdr:sp>
      <xdr:nvSpPr>
        <xdr:cNvPr id="12" name="Line 25"/>
        <xdr:cNvSpPr>
          <a:spLocks/>
        </xdr:cNvSpPr>
      </xdr:nvSpPr>
      <xdr:spPr>
        <a:xfrm>
          <a:off x="5429250" y="1933575"/>
          <a:ext cx="313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247650</xdr:colOff>
      <xdr:row>14</xdr:row>
      <xdr:rowOff>9525</xdr:rowOff>
    </xdr:from>
    <xdr:to>
      <xdr:col>36</xdr:col>
      <xdr:colOff>247650</xdr:colOff>
      <xdr:row>21</xdr:row>
      <xdr:rowOff>0</xdr:rowOff>
    </xdr:to>
    <xdr:sp>
      <xdr:nvSpPr>
        <xdr:cNvPr id="13" name="Line 26"/>
        <xdr:cNvSpPr>
          <a:spLocks/>
        </xdr:cNvSpPr>
      </xdr:nvSpPr>
      <xdr:spPr>
        <a:xfrm>
          <a:off x="10563225" y="2028825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23</xdr:row>
      <xdr:rowOff>57150</xdr:rowOff>
    </xdr:from>
    <xdr:to>
      <xdr:col>36</xdr:col>
      <xdr:colOff>19050</xdr:colOff>
      <xdr:row>23</xdr:row>
      <xdr:rowOff>57150</xdr:rowOff>
    </xdr:to>
    <xdr:sp>
      <xdr:nvSpPr>
        <xdr:cNvPr id="14" name="Line 27"/>
        <xdr:cNvSpPr>
          <a:spLocks/>
        </xdr:cNvSpPr>
      </xdr:nvSpPr>
      <xdr:spPr>
        <a:xfrm>
          <a:off x="8896350" y="33623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228600</xdr:colOff>
      <xdr:row>8</xdr:row>
      <xdr:rowOff>0</xdr:rowOff>
    </xdr:from>
    <xdr:to>
      <xdr:col>30</xdr:col>
      <xdr:colOff>228600</xdr:colOff>
      <xdr:row>10</xdr:row>
      <xdr:rowOff>123825</xdr:rowOff>
    </xdr:to>
    <xdr:sp>
      <xdr:nvSpPr>
        <xdr:cNvPr id="15" name="Line 28"/>
        <xdr:cNvSpPr>
          <a:spLocks/>
        </xdr:cNvSpPr>
      </xdr:nvSpPr>
      <xdr:spPr>
        <a:xfrm flipH="1">
          <a:off x="8801100" y="11620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15</xdr:row>
      <xdr:rowOff>57150</xdr:rowOff>
    </xdr:from>
    <xdr:to>
      <xdr:col>29</xdr:col>
      <xdr:colOff>276225</xdr:colOff>
      <xdr:row>15</xdr:row>
      <xdr:rowOff>57150</xdr:rowOff>
    </xdr:to>
    <xdr:sp>
      <xdr:nvSpPr>
        <xdr:cNvPr id="16" name="Line 29"/>
        <xdr:cNvSpPr>
          <a:spLocks/>
        </xdr:cNvSpPr>
      </xdr:nvSpPr>
      <xdr:spPr>
        <a:xfrm>
          <a:off x="6572250" y="22193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57150</xdr:rowOff>
    </xdr:from>
    <xdr:to>
      <xdr:col>18</xdr:col>
      <xdr:colOff>0</xdr:colOff>
      <xdr:row>15</xdr:row>
      <xdr:rowOff>57150</xdr:rowOff>
    </xdr:to>
    <xdr:sp>
      <xdr:nvSpPr>
        <xdr:cNvPr id="17" name="Line 30"/>
        <xdr:cNvSpPr>
          <a:spLocks/>
        </xdr:cNvSpPr>
      </xdr:nvSpPr>
      <xdr:spPr>
        <a:xfrm>
          <a:off x="2571750" y="2219325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23</xdr:row>
      <xdr:rowOff>47625</xdr:rowOff>
    </xdr:from>
    <xdr:to>
      <xdr:col>23</xdr:col>
      <xdr:colOff>276225</xdr:colOff>
      <xdr:row>23</xdr:row>
      <xdr:rowOff>47625</xdr:rowOff>
    </xdr:to>
    <xdr:sp>
      <xdr:nvSpPr>
        <xdr:cNvPr id="18" name="Line 31"/>
        <xdr:cNvSpPr>
          <a:spLocks/>
        </xdr:cNvSpPr>
      </xdr:nvSpPr>
      <xdr:spPr>
        <a:xfrm>
          <a:off x="6019800" y="3352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15</xdr:row>
      <xdr:rowOff>57150</xdr:rowOff>
    </xdr:from>
    <xdr:to>
      <xdr:col>30</xdr:col>
      <xdr:colOff>0</xdr:colOff>
      <xdr:row>17</xdr:row>
      <xdr:rowOff>0</xdr:rowOff>
    </xdr:to>
    <xdr:sp>
      <xdr:nvSpPr>
        <xdr:cNvPr id="19" name="Line 32"/>
        <xdr:cNvSpPr>
          <a:spLocks/>
        </xdr:cNvSpPr>
      </xdr:nvSpPr>
      <xdr:spPr>
        <a:xfrm flipH="1">
          <a:off x="6010275" y="2219325"/>
          <a:ext cx="25622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276225</xdr:colOff>
      <xdr:row>17</xdr:row>
      <xdr:rowOff>123825</xdr:rowOff>
    </xdr:from>
    <xdr:to>
      <xdr:col>27</xdr:col>
      <xdr:colOff>276225</xdr:colOff>
      <xdr:row>23</xdr:row>
      <xdr:rowOff>9525</xdr:rowOff>
    </xdr:to>
    <xdr:sp>
      <xdr:nvSpPr>
        <xdr:cNvPr id="20" name="Line 33"/>
        <xdr:cNvSpPr>
          <a:spLocks/>
        </xdr:cNvSpPr>
      </xdr:nvSpPr>
      <xdr:spPr>
        <a:xfrm flipH="1">
          <a:off x="7705725" y="2571750"/>
          <a:ext cx="2857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17</xdr:row>
      <xdr:rowOff>123825</xdr:rowOff>
    </xdr:from>
    <xdr:to>
      <xdr:col>35</xdr:col>
      <xdr:colOff>276225</xdr:colOff>
      <xdr:row>22</xdr:row>
      <xdr:rowOff>133350</xdr:rowOff>
    </xdr:to>
    <xdr:sp>
      <xdr:nvSpPr>
        <xdr:cNvPr id="21" name="Line 34"/>
        <xdr:cNvSpPr>
          <a:spLocks/>
        </xdr:cNvSpPr>
      </xdr:nvSpPr>
      <xdr:spPr>
        <a:xfrm>
          <a:off x="8896350" y="2571750"/>
          <a:ext cx="14097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219075</xdr:colOff>
      <xdr:row>18</xdr:row>
      <xdr:rowOff>0</xdr:rowOff>
    </xdr:from>
    <xdr:to>
      <xdr:col>20</xdr:col>
      <xdr:colOff>219075</xdr:colOff>
      <xdr:row>21</xdr:row>
      <xdr:rowOff>0</xdr:rowOff>
    </xdr:to>
    <xdr:sp>
      <xdr:nvSpPr>
        <xdr:cNvPr id="22" name="Line 35"/>
        <xdr:cNvSpPr>
          <a:spLocks/>
        </xdr:cNvSpPr>
      </xdr:nvSpPr>
      <xdr:spPr>
        <a:xfrm>
          <a:off x="5934075" y="25908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22</xdr:row>
      <xdr:rowOff>0</xdr:rowOff>
    </xdr:from>
    <xdr:to>
      <xdr:col>23</xdr:col>
      <xdr:colOff>276225</xdr:colOff>
      <xdr:row>22</xdr:row>
      <xdr:rowOff>133350</xdr:rowOff>
    </xdr:to>
    <xdr:sp>
      <xdr:nvSpPr>
        <xdr:cNvPr id="23" name="Line 36"/>
        <xdr:cNvSpPr>
          <a:spLocks/>
        </xdr:cNvSpPr>
      </xdr:nvSpPr>
      <xdr:spPr>
        <a:xfrm>
          <a:off x="6010275" y="3162300"/>
          <a:ext cx="8382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238125</xdr:colOff>
      <xdr:row>24</xdr:row>
      <xdr:rowOff>0</xdr:rowOff>
    </xdr:from>
    <xdr:to>
      <xdr:col>20</xdr:col>
      <xdr:colOff>238125</xdr:colOff>
      <xdr:row>26</xdr:row>
      <xdr:rowOff>0</xdr:rowOff>
    </xdr:to>
    <xdr:sp>
      <xdr:nvSpPr>
        <xdr:cNvPr id="24" name="Line 37"/>
        <xdr:cNvSpPr>
          <a:spLocks/>
        </xdr:cNvSpPr>
      </xdr:nvSpPr>
      <xdr:spPr>
        <a:xfrm>
          <a:off x="5953125" y="34480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228600</xdr:colOff>
      <xdr:row>27</xdr:row>
      <xdr:rowOff>0</xdr:rowOff>
    </xdr:from>
    <xdr:to>
      <xdr:col>20</xdr:col>
      <xdr:colOff>228600</xdr:colOff>
      <xdr:row>29</xdr:row>
      <xdr:rowOff>0</xdr:rowOff>
    </xdr:to>
    <xdr:sp>
      <xdr:nvSpPr>
        <xdr:cNvPr id="25" name="Line 38"/>
        <xdr:cNvSpPr>
          <a:spLocks/>
        </xdr:cNvSpPr>
      </xdr:nvSpPr>
      <xdr:spPr>
        <a:xfrm>
          <a:off x="5943600" y="38766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228600</xdr:colOff>
      <xdr:row>26</xdr:row>
      <xdr:rowOff>133350</xdr:rowOff>
    </xdr:from>
    <xdr:to>
      <xdr:col>22</xdr:col>
      <xdr:colOff>228600</xdr:colOff>
      <xdr:row>29</xdr:row>
      <xdr:rowOff>9525</xdr:rowOff>
    </xdr:to>
    <xdr:sp>
      <xdr:nvSpPr>
        <xdr:cNvPr id="26" name="Line 39"/>
        <xdr:cNvSpPr>
          <a:spLocks/>
        </xdr:cNvSpPr>
      </xdr:nvSpPr>
      <xdr:spPr>
        <a:xfrm>
          <a:off x="6515100" y="38671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276225</xdr:colOff>
      <xdr:row>29</xdr:row>
      <xdr:rowOff>76200</xdr:rowOff>
    </xdr:from>
    <xdr:to>
      <xdr:col>31</xdr:col>
      <xdr:colOff>266700</xdr:colOff>
      <xdr:row>31</xdr:row>
      <xdr:rowOff>28575</xdr:rowOff>
    </xdr:to>
    <xdr:sp>
      <xdr:nvSpPr>
        <xdr:cNvPr id="27" name="Line 40"/>
        <xdr:cNvSpPr>
          <a:spLocks/>
        </xdr:cNvSpPr>
      </xdr:nvSpPr>
      <xdr:spPr>
        <a:xfrm flipV="1">
          <a:off x="8277225" y="4238625"/>
          <a:ext cx="8763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209550</xdr:colOff>
      <xdr:row>24</xdr:row>
      <xdr:rowOff>9525</xdr:rowOff>
    </xdr:from>
    <xdr:to>
      <xdr:col>28</xdr:col>
      <xdr:colOff>209550</xdr:colOff>
      <xdr:row>27</xdr:row>
      <xdr:rowOff>0</xdr:rowOff>
    </xdr:to>
    <xdr:sp>
      <xdr:nvSpPr>
        <xdr:cNvPr id="28" name="Line 41"/>
        <xdr:cNvSpPr>
          <a:spLocks/>
        </xdr:cNvSpPr>
      </xdr:nvSpPr>
      <xdr:spPr>
        <a:xfrm>
          <a:off x="8210550" y="34575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24</xdr:row>
      <xdr:rowOff>0</xdr:rowOff>
    </xdr:from>
    <xdr:to>
      <xdr:col>40</xdr:col>
      <xdr:colOff>228600</xdr:colOff>
      <xdr:row>27</xdr:row>
      <xdr:rowOff>19050</xdr:rowOff>
    </xdr:to>
    <xdr:sp>
      <xdr:nvSpPr>
        <xdr:cNvPr id="29" name="Line 42"/>
        <xdr:cNvSpPr>
          <a:spLocks/>
        </xdr:cNvSpPr>
      </xdr:nvSpPr>
      <xdr:spPr>
        <a:xfrm flipH="1">
          <a:off x="11172825" y="3448050"/>
          <a:ext cx="5143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57150</xdr:rowOff>
    </xdr:from>
    <xdr:to>
      <xdr:col>19</xdr:col>
      <xdr:colOff>276225</xdr:colOff>
      <xdr:row>23</xdr:row>
      <xdr:rowOff>57150</xdr:rowOff>
    </xdr:to>
    <xdr:sp>
      <xdr:nvSpPr>
        <xdr:cNvPr id="30" name="Line 43"/>
        <xdr:cNvSpPr>
          <a:spLocks/>
        </xdr:cNvSpPr>
      </xdr:nvSpPr>
      <xdr:spPr>
        <a:xfrm>
          <a:off x="3143250" y="3362325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24</xdr:row>
      <xdr:rowOff>19050</xdr:rowOff>
    </xdr:from>
    <xdr:to>
      <xdr:col>10</xdr:col>
      <xdr:colOff>247650</xdr:colOff>
      <xdr:row>29</xdr:row>
      <xdr:rowOff>19050</xdr:rowOff>
    </xdr:to>
    <xdr:sp>
      <xdr:nvSpPr>
        <xdr:cNvPr id="31" name="Line 44"/>
        <xdr:cNvSpPr>
          <a:spLocks/>
        </xdr:cNvSpPr>
      </xdr:nvSpPr>
      <xdr:spPr>
        <a:xfrm>
          <a:off x="3105150" y="346710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219075</xdr:colOff>
      <xdr:row>16</xdr:row>
      <xdr:rowOff>19050</xdr:rowOff>
    </xdr:from>
    <xdr:to>
      <xdr:col>8</xdr:col>
      <xdr:colOff>219075</xdr:colOff>
      <xdr:row>21</xdr:row>
      <xdr:rowOff>9525</xdr:rowOff>
    </xdr:to>
    <xdr:sp>
      <xdr:nvSpPr>
        <xdr:cNvPr id="32" name="Line 45"/>
        <xdr:cNvSpPr>
          <a:spLocks/>
        </xdr:cNvSpPr>
      </xdr:nvSpPr>
      <xdr:spPr>
        <a:xfrm>
          <a:off x="2505075" y="23241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24</xdr:row>
      <xdr:rowOff>19050</xdr:rowOff>
    </xdr:from>
    <xdr:to>
      <xdr:col>6</xdr:col>
      <xdr:colOff>228600</xdr:colOff>
      <xdr:row>29</xdr:row>
      <xdr:rowOff>0</xdr:rowOff>
    </xdr:to>
    <xdr:sp>
      <xdr:nvSpPr>
        <xdr:cNvPr id="33" name="Line 46"/>
        <xdr:cNvSpPr>
          <a:spLocks/>
        </xdr:cNvSpPr>
      </xdr:nvSpPr>
      <xdr:spPr>
        <a:xfrm>
          <a:off x="1943100" y="34671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22</xdr:row>
      <xdr:rowOff>9525</xdr:rowOff>
    </xdr:from>
    <xdr:to>
      <xdr:col>4</xdr:col>
      <xdr:colOff>219075</xdr:colOff>
      <xdr:row>25</xdr:row>
      <xdr:rowOff>0</xdr:rowOff>
    </xdr:to>
    <xdr:sp>
      <xdr:nvSpPr>
        <xdr:cNvPr id="34" name="Line 47"/>
        <xdr:cNvSpPr>
          <a:spLocks/>
        </xdr:cNvSpPr>
      </xdr:nvSpPr>
      <xdr:spPr>
        <a:xfrm>
          <a:off x="1362075" y="31718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16</xdr:row>
      <xdr:rowOff>9525</xdr:rowOff>
    </xdr:from>
    <xdr:to>
      <xdr:col>4</xdr:col>
      <xdr:colOff>219075</xdr:colOff>
      <xdr:row>19</xdr:row>
      <xdr:rowOff>0</xdr:rowOff>
    </xdr:to>
    <xdr:sp>
      <xdr:nvSpPr>
        <xdr:cNvPr id="35" name="Line 48"/>
        <xdr:cNvSpPr>
          <a:spLocks/>
        </xdr:cNvSpPr>
      </xdr:nvSpPr>
      <xdr:spPr>
        <a:xfrm>
          <a:off x="1362075" y="23145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57150</xdr:rowOff>
    </xdr:from>
    <xdr:to>
      <xdr:col>4</xdr:col>
      <xdr:colOff>0</xdr:colOff>
      <xdr:row>15</xdr:row>
      <xdr:rowOff>57150</xdr:rowOff>
    </xdr:to>
    <xdr:sp>
      <xdr:nvSpPr>
        <xdr:cNvPr id="36" name="Line 49"/>
        <xdr:cNvSpPr>
          <a:spLocks/>
        </xdr:cNvSpPr>
      </xdr:nvSpPr>
      <xdr:spPr>
        <a:xfrm>
          <a:off x="295275" y="22193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133350</xdr:rowOff>
    </xdr:from>
    <xdr:to>
      <xdr:col>31</xdr:col>
      <xdr:colOff>171450</xdr:colOff>
      <xdr:row>21</xdr:row>
      <xdr:rowOff>66675</xdr:rowOff>
    </xdr:to>
    <xdr:sp>
      <xdr:nvSpPr>
        <xdr:cNvPr id="37" name="Line 75"/>
        <xdr:cNvSpPr>
          <a:spLocks/>
        </xdr:cNvSpPr>
      </xdr:nvSpPr>
      <xdr:spPr>
        <a:xfrm>
          <a:off x="8886825" y="2867025"/>
          <a:ext cx="1714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21</xdr:row>
      <xdr:rowOff>66675</xdr:rowOff>
    </xdr:from>
    <xdr:to>
      <xdr:col>31</xdr:col>
      <xdr:colOff>171450</xdr:colOff>
      <xdr:row>23</xdr:row>
      <xdr:rowOff>0</xdr:rowOff>
    </xdr:to>
    <xdr:sp>
      <xdr:nvSpPr>
        <xdr:cNvPr id="38" name="Line 76"/>
        <xdr:cNvSpPr>
          <a:spLocks/>
        </xdr:cNvSpPr>
      </xdr:nvSpPr>
      <xdr:spPr>
        <a:xfrm flipH="1">
          <a:off x="8896350" y="3086100"/>
          <a:ext cx="1619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4</xdr:row>
      <xdr:rowOff>0</xdr:rowOff>
    </xdr:from>
    <xdr:to>
      <xdr:col>14</xdr:col>
      <xdr:colOff>9525</xdr:colOff>
      <xdr:row>5</xdr:row>
      <xdr:rowOff>19050</xdr:rowOff>
    </xdr:to>
    <xdr:sp>
      <xdr:nvSpPr>
        <xdr:cNvPr id="39" name="Line 78"/>
        <xdr:cNvSpPr>
          <a:spLocks/>
        </xdr:cNvSpPr>
      </xdr:nvSpPr>
      <xdr:spPr>
        <a:xfrm flipV="1">
          <a:off x="3705225" y="590550"/>
          <a:ext cx="3048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11</xdr:row>
      <xdr:rowOff>57150</xdr:rowOff>
    </xdr:from>
    <xdr:to>
      <xdr:col>35</xdr:col>
      <xdr:colOff>276225</xdr:colOff>
      <xdr:row>11</xdr:row>
      <xdr:rowOff>57150</xdr:rowOff>
    </xdr:to>
    <xdr:sp>
      <xdr:nvSpPr>
        <xdr:cNvPr id="40" name="Line 79"/>
        <xdr:cNvSpPr>
          <a:spLocks/>
        </xdr:cNvSpPr>
      </xdr:nvSpPr>
      <xdr:spPr>
        <a:xfrm flipV="1">
          <a:off x="8905875" y="16478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13</xdr:row>
      <xdr:rowOff>57150</xdr:rowOff>
    </xdr:from>
    <xdr:to>
      <xdr:col>35</xdr:col>
      <xdr:colOff>276225</xdr:colOff>
      <xdr:row>13</xdr:row>
      <xdr:rowOff>57150</xdr:rowOff>
    </xdr:to>
    <xdr:sp>
      <xdr:nvSpPr>
        <xdr:cNvPr id="41" name="Line 80"/>
        <xdr:cNvSpPr>
          <a:spLocks/>
        </xdr:cNvSpPr>
      </xdr:nvSpPr>
      <xdr:spPr>
        <a:xfrm flipV="1">
          <a:off x="8905875" y="19335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276225</xdr:colOff>
      <xdr:row>26</xdr:row>
      <xdr:rowOff>0</xdr:rowOff>
    </xdr:from>
    <xdr:to>
      <xdr:col>33</xdr:col>
      <xdr:colOff>276225</xdr:colOff>
      <xdr:row>29</xdr:row>
      <xdr:rowOff>0</xdr:rowOff>
    </xdr:to>
    <xdr:sp>
      <xdr:nvSpPr>
        <xdr:cNvPr id="42" name="Line 83"/>
        <xdr:cNvSpPr>
          <a:spLocks/>
        </xdr:cNvSpPr>
      </xdr:nvSpPr>
      <xdr:spPr>
        <a:xfrm flipV="1">
          <a:off x="9448800" y="3733800"/>
          <a:ext cx="2857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10</xdr:row>
      <xdr:rowOff>0</xdr:rowOff>
    </xdr:from>
    <xdr:to>
      <xdr:col>12</xdr:col>
      <xdr:colOff>0</xdr:colOff>
      <xdr:row>10</xdr:row>
      <xdr:rowOff>133350</xdr:rowOff>
    </xdr:to>
    <xdr:sp>
      <xdr:nvSpPr>
        <xdr:cNvPr id="43" name="Line 84"/>
        <xdr:cNvSpPr>
          <a:spLocks/>
        </xdr:cNvSpPr>
      </xdr:nvSpPr>
      <xdr:spPr>
        <a:xfrm flipH="1" flipV="1">
          <a:off x="3133725" y="1447800"/>
          <a:ext cx="2952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19050</xdr:rowOff>
    </xdr:from>
    <xdr:to>
      <xdr:col>6</xdr:col>
      <xdr:colOff>0</xdr:colOff>
      <xdr:row>18</xdr:row>
      <xdr:rowOff>133350</xdr:rowOff>
    </xdr:to>
    <xdr:sp>
      <xdr:nvSpPr>
        <xdr:cNvPr id="44" name="Line 86"/>
        <xdr:cNvSpPr>
          <a:spLocks/>
        </xdr:cNvSpPr>
      </xdr:nvSpPr>
      <xdr:spPr>
        <a:xfrm flipV="1">
          <a:off x="1438275" y="2324100"/>
          <a:ext cx="2762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26</xdr:row>
      <xdr:rowOff>0</xdr:rowOff>
    </xdr:from>
    <xdr:to>
      <xdr:col>4</xdr:col>
      <xdr:colOff>209550</xdr:colOff>
      <xdr:row>29</xdr:row>
      <xdr:rowOff>0</xdr:rowOff>
    </xdr:to>
    <xdr:sp>
      <xdr:nvSpPr>
        <xdr:cNvPr id="45" name="Line 90"/>
        <xdr:cNvSpPr>
          <a:spLocks/>
        </xdr:cNvSpPr>
      </xdr:nvSpPr>
      <xdr:spPr>
        <a:xfrm>
          <a:off x="1352550" y="37338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66675</xdr:rowOff>
    </xdr:from>
    <xdr:to>
      <xdr:col>3</xdr:col>
      <xdr:colOff>276225</xdr:colOff>
      <xdr:row>25</xdr:row>
      <xdr:rowOff>66675</xdr:rowOff>
    </xdr:to>
    <xdr:sp>
      <xdr:nvSpPr>
        <xdr:cNvPr id="46" name="Line 91"/>
        <xdr:cNvSpPr>
          <a:spLocks/>
        </xdr:cNvSpPr>
      </xdr:nvSpPr>
      <xdr:spPr>
        <a:xfrm>
          <a:off x="295275" y="36576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7</xdr:row>
      <xdr:rowOff>114300</xdr:rowOff>
    </xdr:from>
    <xdr:to>
      <xdr:col>23</xdr:col>
      <xdr:colOff>276225</xdr:colOff>
      <xdr:row>10</xdr:row>
      <xdr:rowOff>133350</xdr:rowOff>
    </xdr:to>
    <xdr:sp>
      <xdr:nvSpPr>
        <xdr:cNvPr id="47" name="Line 92"/>
        <xdr:cNvSpPr>
          <a:spLocks/>
        </xdr:cNvSpPr>
      </xdr:nvSpPr>
      <xdr:spPr>
        <a:xfrm flipH="1">
          <a:off x="4676775" y="1133475"/>
          <a:ext cx="21717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171450</xdr:colOff>
      <xdr:row>27</xdr:row>
      <xdr:rowOff>76200</xdr:rowOff>
    </xdr:from>
    <xdr:to>
      <xdr:col>25</xdr:col>
      <xdr:colOff>276225</xdr:colOff>
      <xdr:row>30</xdr:row>
      <xdr:rowOff>123825</xdr:rowOff>
    </xdr:to>
    <xdr:sp>
      <xdr:nvSpPr>
        <xdr:cNvPr id="48" name="Line 94"/>
        <xdr:cNvSpPr>
          <a:spLocks/>
        </xdr:cNvSpPr>
      </xdr:nvSpPr>
      <xdr:spPr>
        <a:xfrm flipV="1">
          <a:off x="7029450" y="3952875"/>
          <a:ext cx="3905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</xdr:colOff>
      <xdr:row>27</xdr:row>
      <xdr:rowOff>76200</xdr:rowOff>
    </xdr:from>
    <xdr:to>
      <xdr:col>28</xdr:col>
      <xdr:colOff>19050</xdr:colOff>
      <xdr:row>31</xdr:row>
      <xdr:rowOff>0</xdr:rowOff>
    </xdr:to>
    <xdr:sp>
      <xdr:nvSpPr>
        <xdr:cNvPr id="49" name="Line 95"/>
        <xdr:cNvSpPr>
          <a:spLocks/>
        </xdr:cNvSpPr>
      </xdr:nvSpPr>
      <xdr:spPr>
        <a:xfrm flipH="1" flipV="1">
          <a:off x="7724775" y="3952875"/>
          <a:ext cx="2952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276225</xdr:colOff>
      <xdr:row>6</xdr:row>
      <xdr:rowOff>9525</xdr:rowOff>
    </xdr:from>
    <xdr:to>
      <xdr:col>23</xdr:col>
      <xdr:colOff>276225</xdr:colOff>
      <xdr:row>7</xdr:row>
      <xdr:rowOff>47625</xdr:rowOff>
    </xdr:to>
    <xdr:sp>
      <xdr:nvSpPr>
        <xdr:cNvPr id="50" name="Line 103"/>
        <xdr:cNvSpPr>
          <a:spLocks/>
        </xdr:cNvSpPr>
      </xdr:nvSpPr>
      <xdr:spPr>
        <a:xfrm>
          <a:off x="4276725" y="885825"/>
          <a:ext cx="25717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6</xdr:row>
      <xdr:rowOff>9525</xdr:rowOff>
    </xdr:from>
    <xdr:to>
      <xdr:col>14</xdr:col>
      <xdr:colOff>209550</xdr:colOff>
      <xdr:row>6</xdr:row>
      <xdr:rowOff>133350</xdr:rowOff>
    </xdr:to>
    <xdr:sp>
      <xdr:nvSpPr>
        <xdr:cNvPr id="51" name="Line 105"/>
        <xdr:cNvSpPr>
          <a:spLocks/>
        </xdr:cNvSpPr>
      </xdr:nvSpPr>
      <xdr:spPr>
        <a:xfrm>
          <a:off x="4210050" y="8858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114300</xdr:rowOff>
    </xdr:from>
    <xdr:to>
      <xdr:col>13</xdr:col>
      <xdr:colOff>276225</xdr:colOff>
      <xdr:row>7</xdr:row>
      <xdr:rowOff>114300</xdr:rowOff>
    </xdr:to>
    <xdr:sp>
      <xdr:nvSpPr>
        <xdr:cNvPr id="52" name="Line 106"/>
        <xdr:cNvSpPr>
          <a:spLocks/>
        </xdr:cNvSpPr>
      </xdr:nvSpPr>
      <xdr:spPr>
        <a:xfrm flipH="1">
          <a:off x="3724275" y="1133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19050</xdr:rowOff>
    </xdr:from>
    <xdr:to>
      <xdr:col>14</xdr:col>
      <xdr:colOff>9525</xdr:colOff>
      <xdr:row>8</xdr:row>
      <xdr:rowOff>133350</xdr:rowOff>
    </xdr:to>
    <xdr:sp>
      <xdr:nvSpPr>
        <xdr:cNvPr id="53" name="Line 107"/>
        <xdr:cNvSpPr>
          <a:spLocks/>
        </xdr:cNvSpPr>
      </xdr:nvSpPr>
      <xdr:spPr>
        <a:xfrm flipH="1">
          <a:off x="3714750" y="1181100"/>
          <a:ext cx="2952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6</xdr:row>
      <xdr:rowOff>9525</xdr:rowOff>
    </xdr:from>
    <xdr:to>
      <xdr:col>12</xdr:col>
      <xdr:colOff>0</xdr:colOff>
      <xdr:row>7</xdr:row>
      <xdr:rowOff>0</xdr:rowOff>
    </xdr:to>
    <xdr:sp>
      <xdr:nvSpPr>
        <xdr:cNvPr id="54" name="Line 108"/>
        <xdr:cNvSpPr>
          <a:spLocks/>
        </xdr:cNvSpPr>
      </xdr:nvSpPr>
      <xdr:spPr>
        <a:xfrm flipH="1">
          <a:off x="3152775" y="885825"/>
          <a:ext cx="2762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11</xdr:row>
      <xdr:rowOff>85725</xdr:rowOff>
    </xdr:from>
    <xdr:to>
      <xdr:col>16</xdr:col>
      <xdr:colOff>0</xdr:colOff>
      <xdr:row>11</xdr:row>
      <xdr:rowOff>85725</xdr:rowOff>
    </xdr:to>
    <xdr:sp>
      <xdr:nvSpPr>
        <xdr:cNvPr id="55" name="Line 109"/>
        <xdr:cNvSpPr>
          <a:spLocks/>
        </xdr:cNvSpPr>
      </xdr:nvSpPr>
      <xdr:spPr>
        <a:xfrm>
          <a:off x="4295775" y="1676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7</xdr:row>
      <xdr:rowOff>114300</xdr:rowOff>
    </xdr:from>
    <xdr:to>
      <xdr:col>11</xdr:col>
      <xdr:colOff>266700</xdr:colOff>
      <xdr:row>7</xdr:row>
      <xdr:rowOff>114300</xdr:rowOff>
    </xdr:to>
    <xdr:sp>
      <xdr:nvSpPr>
        <xdr:cNvPr id="56" name="Line 110"/>
        <xdr:cNvSpPr>
          <a:spLocks/>
        </xdr:cNvSpPr>
      </xdr:nvSpPr>
      <xdr:spPr>
        <a:xfrm>
          <a:off x="3133725" y="11334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104775</xdr:rowOff>
    </xdr:from>
    <xdr:to>
      <xdr:col>13</xdr:col>
      <xdr:colOff>257175</xdr:colOff>
      <xdr:row>5</xdr:row>
      <xdr:rowOff>104775</xdr:rowOff>
    </xdr:to>
    <xdr:sp>
      <xdr:nvSpPr>
        <xdr:cNvPr id="57" name="Line 111"/>
        <xdr:cNvSpPr>
          <a:spLocks/>
        </xdr:cNvSpPr>
      </xdr:nvSpPr>
      <xdr:spPr>
        <a:xfrm>
          <a:off x="3714750" y="838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219075</xdr:colOff>
      <xdr:row>8</xdr:row>
      <xdr:rowOff>9525</xdr:rowOff>
    </xdr:from>
    <xdr:to>
      <xdr:col>10</xdr:col>
      <xdr:colOff>219075</xdr:colOff>
      <xdr:row>9</xdr:row>
      <xdr:rowOff>19050</xdr:rowOff>
    </xdr:to>
    <xdr:sp>
      <xdr:nvSpPr>
        <xdr:cNvPr id="58" name="Line 112"/>
        <xdr:cNvSpPr>
          <a:spLocks/>
        </xdr:cNvSpPr>
      </xdr:nvSpPr>
      <xdr:spPr>
        <a:xfrm>
          <a:off x="3076575" y="11715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5</xdr:row>
      <xdr:rowOff>133350</xdr:rowOff>
    </xdr:from>
    <xdr:to>
      <xdr:col>12</xdr:col>
      <xdr:colOff>209550</xdr:colOff>
      <xdr:row>6</xdr:row>
      <xdr:rowOff>133350</xdr:rowOff>
    </xdr:to>
    <xdr:sp>
      <xdr:nvSpPr>
        <xdr:cNvPr id="59" name="Line 113"/>
        <xdr:cNvSpPr>
          <a:spLocks/>
        </xdr:cNvSpPr>
      </xdr:nvSpPr>
      <xdr:spPr>
        <a:xfrm>
          <a:off x="3638550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57150</xdr:rowOff>
    </xdr:from>
    <xdr:to>
      <xdr:col>13</xdr:col>
      <xdr:colOff>276225</xdr:colOff>
      <xdr:row>11</xdr:row>
      <xdr:rowOff>57150</xdr:rowOff>
    </xdr:to>
    <xdr:sp>
      <xdr:nvSpPr>
        <xdr:cNvPr id="60" name="Line 114"/>
        <xdr:cNvSpPr>
          <a:spLocks/>
        </xdr:cNvSpPr>
      </xdr:nvSpPr>
      <xdr:spPr>
        <a:xfrm flipV="1">
          <a:off x="3705225" y="16478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14</xdr:row>
      <xdr:rowOff>85725</xdr:rowOff>
    </xdr:from>
    <xdr:to>
      <xdr:col>20</xdr:col>
      <xdr:colOff>142875</xdr:colOff>
      <xdr:row>15</xdr:row>
      <xdr:rowOff>0</xdr:rowOff>
    </xdr:to>
    <xdr:sp>
      <xdr:nvSpPr>
        <xdr:cNvPr id="61" name="Line 115"/>
        <xdr:cNvSpPr>
          <a:spLocks/>
        </xdr:cNvSpPr>
      </xdr:nvSpPr>
      <xdr:spPr>
        <a:xfrm flipV="1">
          <a:off x="5429250" y="2105025"/>
          <a:ext cx="428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14</xdr:row>
      <xdr:rowOff>85725</xdr:rowOff>
    </xdr:from>
    <xdr:to>
      <xdr:col>22</xdr:col>
      <xdr:colOff>0</xdr:colOff>
      <xdr:row>15</xdr:row>
      <xdr:rowOff>9525</xdr:rowOff>
    </xdr:to>
    <xdr:sp>
      <xdr:nvSpPr>
        <xdr:cNvPr id="62" name="Line 116"/>
        <xdr:cNvSpPr>
          <a:spLocks/>
        </xdr:cNvSpPr>
      </xdr:nvSpPr>
      <xdr:spPr>
        <a:xfrm>
          <a:off x="5848350" y="2105025"/>
          <a:ext cx="4381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29</xdr:row>
      <xdr:rowOff>85725</xdr:rowOff>
    </xdr:from>
    <xdr:to>
      <xdr:col>3</xdr:col>
      <xdr:colOff>276225</xdr:colOff>
      <xdr:row>29</xdr:row>
      <xdr:rowOff>85725</xdr:rowOff>
    </xdr:to>
    <xdr:sp>
      <xdr:nvSpPr>
        <xdr:cNvPr id="63" name="Line 117"/>
        <xdr:cNvSpPr>
          <a:spLocks/>
        </xdr:cNvSpPr>
      </xdr:nvSpPr>
      <xdr:spPr>
        <a:xfrm>
          <a:off x="838200" y="42481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95250</xdr:rowOff>
    </xdr:from>
    <xdr:to>
      <xdr:col>6</xdr:col>
      <xdr:colOff>0</xdr:colOff>
      <xdr:row>29</xdr:row>
      <xdr:rowOff>95250</xdr:rowOff>
    </xdr:to>
    <xdr:sp>
      <xdr:nvSpPr>
        <xdr:cNvPr id="64" name="Line 118"/>
        <xdr:cNvSpPr>
          <a:spLocks/>
        </xdr:cNvSpPr>
      </xdr:nvSpPr>
      <xdr:spPr>
        <a:xfrm>
          <a:off x="1428750" y="42576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95250</xdr:rowOff>
    </xdr:from>
    <xdr:to>
      <xdr:col>7</xdr:col>
      <xdr:colOff>276225</xdr:colOff>
      <xdr:row>29</xdr:row>
      <xdr:rowOff>95250</xdr:rowOff>
    </xdr:to>
    <xdr:sp>
      <xdr:nvSpPr>
        <xdr:cNvPr id="65" name="Line 119"/>
        <xdr:cNvSpPr>
          <a:spLocks/>
        </xdr:cNvSpPr>
      </xdr:nvSpPr>
      <xdr:spPr>
        <a:xfrm>
          <a:off x="2000250" y="4257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85725</xdr:rowOff>
    </xdr:from>
    <xdr:to>
      <xdr:col>9</xdr:col>
      <xdr:colOff>276225</xdr:colOff>
      <xdr:row>29</xdr:row>
      <xdr:rowOff>85725</xdr:rowOff>
    </xdr:to>
    <xdr:sp>
      <xdr:nvSpPr>
        <xdr:cNvPr id="66" name="Line 120"/>
        <xdr:cNvSpPr>
          <a:spLocks/>
        </xdr:cNvSpPr>
      </xdr:nvSpPr>
      <xdr:spPr>
        <a:xfrm>
          <a:off x="2571750" y="4248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133350</xdr:rowOff>
    </xdr:from>
    <xdr:to>
      <xdr:col>5</xdr:col>
      <xdr:colOff>276225</xdr:colOff>
      <xdr:row>23</xdr:row>
      <xdr:rowOff>0</xdr:rowOff>
    </xdr:to>
    <xdr:sp>
      <xdr:nvSpPr>
        <xdr:cNvPr id="67" name="Line 121"/>
        <xdr:cNvSpPr>
          <a:spLocks/>
        </xdr:cNvSpPr>
      </xdr:nvSpPr>
      <xdr:spPr>
        <a:xfrm>
          <a:off x="1428750" y="3152775"/>
          <a:ext cx="2762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20</xdr:row>
      <xdr:rowOff>0</xdr:rowOff>
    </xdr:from>
    <xdr:to>
      <xdr:col>4</xdr:col>
      <xdr:colOff>209550</xdr:colOff>
      <xdr:row>21</xdr:row>
      <xdr:rowOff>0</xdr:rowOff>
    </xdr:to>
    <xdr:sp>
      <xdr:nvSpPr>
        <xdr:cNvPr id="68" name="Line 122"/>
        <xdr:cNvSpPr>
          <a:spLocks/>
        </xdr:cNvSpPr>
      </xdr:nvSpPr>
      <xdr:spPr>
        <a:xfrm>
          <a:off x="1352550" y="28765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85725</xdr:rowOff>
    </xdr:from>
    <xdr:to>
      <xdr:col>5</xdr:col>
      <xdr:colOff>276225</xdr:colOff>
      <xdr:row>21</xdr:row>
      <xdr:rowOff>85725</xdr:rowOff>
    </xdr:to>
    <xdr:sp>
      <xdr:nvSpPr>
        <xdr:cNvPr id="69" name="Line 123"/>
        <xdr:cNvSpPr>
          <a:spLocks/>
        </xdr:cNvSpPr>
      </xdr:nvSpPr>
      <xdr:spPr>
        <a:xfrm>
          <a:off x="1438275" y="31051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0</xdr:rowOff>
    </xdr:from>
    <xdr:to>
      <xdr:col>6</xdr:col>
      <xdr:colOff>228600</xdr:colOff>
      <xdr:row>23</xdr:row>
      <xdr:rowOff>9525</xdr:rowOff>
    </xdr:to>
    <xdr:sp>
      <xdr:nvSpPr>
        <xdr:cNvPr id="70" name="Line 124"/>
        <xdr:cNvSpPr>
          <a:spLocks/>
        </xdr:cNvSpPr>
      </xdr:nvSpPr>
      <xdr:spPr>
        <a:xfrm>
          <a:off x="1943100" y="31623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21</xdr:row>
      <xdr:rowOff>85725</xdr:rowOff>
    </xdr:from>
    <xdr:to>
      <xdr:col>7</xdr:col>
      <xdr:colOff>276225</xdr:colOff>
      <xdr:row>21</xdr:row>
      <xdr:rowOff>85725</xdr:rowOff>
    </xdr:to>
    <xdr:sp>
      <xdr:nvSpPr>
        <xdr:cNvPr id="71" name="Line 125"/>
        <xdr:cNvSpPr>
          <a:spLocks/>
        </xdr:cNvSpPr>
      </xdr:nvSpPr>
      <xdr:spPr>
        <a:xfrm>
          <a:off x="1990725" y="31051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133350</xdr:rowOff>
    </xdr:from>
    <xdr:to>
      <xdr:col>9</xdr:col>
      <xdr:colOff>276225</xdr:colOff>
      <xdr:row>23</xdr:row>
      <xdr:rowOff>0</xdr:rowOff>
    </xdr:to>
    <xdr:sp>
      <xdr:nvSpPr>
        <xdr:cNvPr id="72" name="Line 126"/>
        <xdr:cNvSpPr>
          <a:spLocks/>
        </xdr:cNvSpPr>
      </xdr:nvSpPr>
      <xdr:spPr>
        <a:xfrm>
          <a:off x="2571750" y="3152775"/>
          <a:ext cx="2762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29</xdr:row>
      <xdr:rowOff>95250</xdr:rowOff>
    </xdr:from>
    <xdr:to>
      <xdr:col>11</xdr:col>
      <xdr:colOff>276225</xdr:colOff>
      <xdr:row>29</xdr:row>
      <xdr:rowOff>95250</xdr:rowOff>
    </xdr:to>
    <xdr:sp>
      <xdr:nvSpPr>
        <xdr:cNvPr id="73" name="Line 127"/>
        <xdr:cNvSpPr>
          <a:spLocks/>
        </xdr:cNvSpPr>
      </xdr:nvSpPr>
      <xdr:spPr>
        <a:xfrm>
          <a:off x="3152775" y="4257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29</xdr:row>
      <xdr:rowOff>95250</xdr:rowOff>
    </xdr:from>
    <xdr:to>
      <xdr:col>14</xdr:col>
      <xdr:colOff>0</xdr:colOff>
      <xdr:row>29</xdr:row>
      <xdr:rowOff>95250</xdr:rowOff>
    </xdr:to>
    <xdr:sp>
      <xdr:nvSpPr>
        <xdr:cNvPr id="74" name="Line 128"/>
        <xdr:cNvSpPr>
          <a:spLocks/>
        </xdr:cNvSpPr>
      </xdr:nvSpPr>
      <xdr:spPr>
        <a:xfrm>
          <a:off x="3724275" y="4257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95250</xdr:rowOff>
    </xdr:from>
    <xdr:to>
      <xdr:col>15</xdr:col>
      <xdr:colOff>266700</xdr:colOff>
      <xdr:row>29</xdr:row>
      <xdr:rowOff>95250</xdr:rowOff>
    </xdr:to>
    <xdr:sp>
      <xdr:nvSpPr>
        <xdr:cNvPr id="75" name="Line 129"/>
        <xdr:cNvSpPr>
          <a:spLocks/>
        </xdr:cNvSpPr>
      </xdr:nvSpPr>
      <xdr:spPr>
        <a:xfrm>
          <a:off x="4286250" y="4257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29</xdr:row>
      <xdr:rowOff>104775</xdr:rowOff>
    </xdr:from>
    <xdr:to>
      <xdr:col>18</xdr:col>
      <xdr:colOff>9525</xdr:colOff>
      <xdr:row>29</xdr:row>
      <xdr:rowOff>104775</xdr:rowOff>
    </xdr:to>
    <xdr:sp>
      <xdr:nvSpPr>
        <xdr:cNvPr id="76" name="Line 130"/>
        <xdr:cNvSpPr>
          <a:spLocks/>
        </xdr:cNvSpPr>
      </xdr:nvSpPr>
      <xdr:spPr>
        <a:xfrm>
          <a:off x="4867275" y="42672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95250</xdr:rowOff>
    </xdr:from>
    <xdr:to>
      <xdr:col>19</xdr:col>
      <xdr:colOff>276225</xdr:colOff>
      <xdr:row>29</xdr:row>
      <xdr:rowOff>95250</xdr:rowOff>
    </xdr:to>
    <xdr:sp>
      <xdr:nvSpPr>
        <xdr:cNvPr id="77" name="Line 131"/>
        <xdr:cNvSpPr>
          <a:spLocks/>
        </xdr:cNvSpPr>
      </xdr:nvSpPr>
      <xdr:spPr>
        <a:xfrm>
          <a:off x="5429250" y="4257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29</xdr:row>
      <xdr:rowOff>95250</xdr:rowOff>
    </xdr:from>
    <xdr:to>
      <xdr:col>22</xdr:col>
      <xdr:colOff>0</xdr:colOff>
      <xdr:row>29</xdr:row>
      <xdr:rowOff>95250</xdr:rowOff>
    </xdr:to>
    <xdr:sp>
      <xdr:nvSpPr>
        <xdr:cNvPr id="78" name="Line 132"/>
        <xdr:cNvSpPr>
          <a:spLocks/>
        </xdr:cNvSpPr>
      </xdr:nvSpPr>
      <xdr:spPr>
        <a:xfrm>
          <a:off x="6010275" y="4257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29</xdr:row>
      <xdr:rowOff>142875</xdr:rowOff>
    </xdr:from>
    <xdr:to>
      <xdr:col>23</xdr:col>
      <xdr:colOff>276225</xdr:colOff>
      <xdr:row>30</xdr:row>
      <xdr:rowOff>142875</xdr:rowOff>
    </xdr:to>
    <xdr:sp>
      <xdr:nvSpPr>
        <xdr:cNvPr id="79" name="Line 133"/>
        <xdr:cNvSpPr>
          <a:spLocks/>
        </xdr:cNvSpPr>
      </xdr:nvSpPr>
      <xdr:spPr>
        <a:xfrm>
          <a:off x="6572250" y="4305300"/>
          <a:ext cx="2762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133350</xdr:rowOff>
    </xdr:from>
    <xdr:to>
      <xdr:col>25</xdr:col>
      <xdr:colOff>276225</xdr:colOff>
      <xdr:row>31</xdr:row>
      <xdr:rowOff>0</xdr:rowOff>
    </xdr:to>
    <xdr:sp>
      <xdr:nvSpPr>
        <xdr:cNvPr id="80" name="Line 134"/>
        <xdr:cNvSpPr>
          <a:spLocks/>
        </xdr:cNvSpPr>
      </xdr:nvSpPr>
      <xdr:spPr>
        <a:xfrm flipV="1">
          <a:off x="7143750" y="4295775"/>
          <a:ext cx="2762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31</xdr:row>
      <xdr:rowOff>95250</xdr:rowOff>
    </xdr:from>
    <xdr:to>
      <xdr:col>26</xdr:col>
      <xdr:colOff>0</xdr:colOff>
      <xdr:row>31</xdr:row>
      <xdr:rowOff>95250</xdr:rowOff>
    </xdr:to>
    <xdr:sp>
      <xdr:nvSpPr>
        <xdr:cNvPr id="81" name="Line 135"/>
        <xdr:cNvSpPr>
          <a:spLocks/>
        </xdr:cNvSpPr>
      </xdr:nvSpPr>
      <xdr:spPr>
        <a:xfrm>
          <a:off x="7153275" y="45434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228600</xdr:colOff>
      <xdr:row>30</xdr:row>
      <xdr:rowOff>0</xdr:rowOff>
    </xdr:from>
    <xdr:to>
      <xdr:col>26</xdr:col>
      <xdr:colOff>228600</xdr:colOff>
      <xdr:row>31</xdr:row>
      <xdr:rowOff>0</xdr:rowOff>
    </xdr:to>
    <xdr:sp>
      <xdr:nvSpPr>
        <xdr:cNvPr id="82" name="Line 136"/>
        <xdr:cNvSpPr>
          <a:spLocks/>
        </xdr:cNvSpPr>
      </xdr:nvSpPr>
      <xdr:spPr>
        <a:xfrm>
          <a:off x="7658100" y="43053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219075</xdr:colOff>
      <xdr:row>28</xdr:row>
      <xdr:rowOff>0</xdr:rowOff>
    </xdr:from>
    <xdr:to>
      <xdr:col>26</xdr:col>
      <xdr:colOff>219075</xdr:colOff>
      <xdr:row>29</xdr:row>
      <xdr:rowOff>9525</xdr:rowOff>
    </xdr:to>
    <xdr:sp>
      <xdr:nvSpPr>
        <xdr:cNvPr id="83" name="Line 137"/>
        <xdr:cNvSpPr>
          <a:spLocks/>
        </xdr:cNvSpPr>
      </xdr:nvSpPr>
      <xdr:spPr>
        <a:xfrm>
          <a:off x="7648575" y="40195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</xdr:colOff>
      <xdr:row>31</xdr:row>
      <xdr:rowOff>104775</xdr:rowOff>
    </xdr:from>
    <xdr:to>
      <xdr:col>27</xdr:col>
      <xdr:colOff>276225</xdr:colOff>
      <xdr:row>31</xdr:row>
      <xdr:rowOff>104775</xdr:rowOff>
    </xdr:to>
    <xdr:sp>
      <xdr:nvSpPr>
        <xdr:cNvPr id="84" name="Line 138"/>
        <xdr:cNvSpPr>
          <a:spLocks/>
        </xdr:cNvSpPr>
      </xdr:nvSpPr>
      <xdr:spPr>
        <a:xfrm flipV="1">
          <a:off x="7724775" y="4552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238125</xdr:colOff>
      <xdr:row>24</xdr:row>
      <xdr:rowOff>9525</xdr:rowOff>
    </xdr:from>
    <xdr:to>
      <xdr:col>26</xdr:col>
      <xdr:colOff>238125</xdr:colOff>
      <xdr:row>25</xdr:row>
      <xdr:rowOff>9525</xdr:rowOff>
    </xdr:to>
    <xdr:sp>
      <xdr:nvSpPr>
        <xdr:cNvPr id="85" name="Line 139"/>
        <xdr:cNvSpPr>
          <a:spLocks/>
        </xdr:cNvSpPr>
      </xdr:nvSpPr>
      <xdr:spPr>
        <a:xfrm>
          <a:off x="7667625" y="34575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24</xdr:row>
      <xdr:rowOff>9525</xdr:rowOff>
    </xdr:from>
    <xdr:to>
      <xdr:col>26</xdr:col>
      <xdr:colOff>0</xdr:colOff>
      <xdr:row>24</xdr:row>
      <xdr:rowOff>133350</xdr:rowOff>
    </xdr:to>
    <xdr:sp>
      <xdr:nvSpPr>
        <xdr:cNvPr id="86" name="Line 140"/>
        <xdr:cNvSpPr>
          <a:spLocks/>
        </xdr:cNvSpPr>
      </xdr:nvSpPr>
      <xdr:spPr>
        <a:xfrm>
          <a:off x="7153275" y="3457575"/>
          <a:ext cx="2762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23</xdr:row>
      <xdr:rowOff>76200</xdr:rowOff>
    </xdr:from>
    <xdr:to>
      <xdr:col>26</xdr:col>
      <xdr:colOff>0</xdr:colOff>
      <xdr:row>23</xdr:row>
      <xdr:rowOff>76200</xdr:rowOff>
    </xdr:to>
    <xdr:sp>
      <xdr:nvSpPr>
        <xdr:cNvPr id="87" name="Line 141"/>
        <xdr:cNvSpPr>
          <a:spLocks/>
        </xdr:cNvSpPr>
      </xdr:nvSpPr>
      <xdr:spPr>
        <a:xfrm>
          <a:off x="7143750" y="3381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</xdr:colOff>
      <xdr:row>23</xdr:row>
      <xdr:rowOff>66675</xdr:rowOff>
    </xdr:from>
    <xdr:to>
      <xdr:col>27</xdr:col>
      <xdr:colOff>276225</xdr:colOff>
      <xdr:row>23</xdr:row>
      <xdr:rowOff>66675</xdr:rowOff>
    </xdr:to>
    <xdr:sp>
      <xdr:nvSpPr>
        <xdr:cNvPr id="88" name="Line 142"/>
        <xdr:cNvSpPr>
          <a:spLocks/>
        </xdr:cNvSpPr>
      </xdr:nvSpPr>
      <xdr:spPr>
        <a:xfrm>
          <a:off x="7724775" y="33718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219075</xdr:colOff>
      <xdr:row>16</xdr:row>
      <xdr:rowOff>9525</xdr:rowOff>
    </xdr:from>
    <xdr:to>
      <xdr:col>20</xdr:col>
      <xdr:colOff>219075</xdr:colOff>
      <xdr:row>17</xdr:row>
      <xdr:rowOff>9525</xdr:rowOff>
    </xdr:to>
    <xdr:sp>
      <xdr:nvSpPr>
        <xdr:cNvPr id="89" name="Line 143"/>
        <xdr:cNvSpPr>
          <a:spLocks/>
        </xdr:cNvSpPr>
      </xdr:nvSpPr>
      <xdr:spPr>
        <a:xfrm>
          <a:off x="5934075" y="23145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85725</xdr:rowOff>
    </xdr:from>
    <xdr:to>
      <xdr:col>19</xdr:col>
      <xdr:colOff>276225</xdr:colOff>
      <xdr:row>15</xdr:row>
      <xdr:rowOff>85725</xdr:rowOff>
    </xdr:to>
    <xdr:sp>
      <xdr:nvSpPr>
        <xdr:cNvPr id="90" name="Line 144"/>
        <xdr:cNvSpPr>
          <a:spLocks/>
        </xdr:cNvSpPr>
      </xdr:nvSpPr>
      <xdr:spPr>
        <a:xfrm>
          <a:off x="5429250" y="22479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9525</xdr:rowOff>
    </xdr:from>
    <xdr:to>
      <xdr:col>18</xdr:col>
      <xdr:colOff>0</xdr:colOff>
      <xdr:row>15</xdr:row>
      <xdr:rowOff>0</xdr:rowOff>
    </xdr:to>
    <xdr:sp>
      <xdr:nvSpPr>
        <xdr:cNvPr id="91" name="Line 145"/>
        <xdr:cNvSpPr>
          <a:spLocks/>
        </xdr:cNvSpPr>
      </xdr:nvSpPr>
      <xdr:spPr>
        <a:xfrm>
          <a:off x="4857750" y="2028825"/>
          <a:ext cx="2857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15</xdr:row>
      <xdr:rowOff>95250</xdr:rowOff>
    </xdr:from>
    <xdr:to>
      <xdr:col>21</xdr:col>
      <xdr:colOff>276225</xdr:colOff>
      <xdr:row>15</xdr:row>
      <xdr:rowOff>95250</xdr:rowOff>
    </xdr:to>
    <xdr:sp>
      <xdr:nvSpPr>
        <xdr:cNvPr id="92" name="Line 146"/>
        <xdr:cNvSpPr>
          <a:spLocks/>
        </xdr:cNvSpPr>
      </xdr:nvSpPr>
      <xdr:spPr>
        <a:xfrm>
          <a:off x="6010275" y="22574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276225</xdr:colOff>
      <xdr:row>13</xdr:row>
      <xdr:rowOff>85725</xdr:rowOff>
    </xdr:from>
    <xdr:to>
      <xdr:col>17</xdr:col>
      <xdr:colOff>276225</xdr:colOff>
      <xdr:row>13</xdr:row>
      <xdr:rowOff>85725</xdr:rowOff>
    </xdr:to>
    <xdr:sp>
      <xdr:nvSpPr>
        <xdr:cNvPr id="93" name="Line 147"/>
        <xdr:cNvSpPr>
          <a:spLocks/>
        </xdr:cNvSpPr>
      </xdr:nvSpPr>
      <xdr:spPr>
        <a:xfrm>
          <a:off x="4848225" y="19621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219075</xdr:colOff>
      <xdr:row>14</xdr:row>
      <xdr:rowOff>0</xdr:rowOff>
    </xdr:from>
    <xdr:to>
      <xdr:col>18</xdr:col>
      <xdr:colOff>219075</xdr:colOff>
      <xdr:row>14</xdr:row>
      <xdr:rowOff>133350</xdr:rowOff>
    </xdr:to>
    <xdr:sp>
      <xdr:nvSpPr>
        <xdr:cNvPr id="94" name="Line 148"/>
        <xdr:cNvSpPr>
          <a:spLocks/>
        </xdr:cNvSpPr>
      </xdr:nvSpPr>
      <xdr:spPr>
        <a:xfrm>
          <a:off x="5362575" y="2019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10</xdr:row>
      <xdr:rowOff>0</xdr:rowOff>
    </xdr:from>
    <xdr:to>
      <xdr:col>12</xdr:col>
      <xdr:colOff>200025</xdr:colOff>
      <xdr:row>10</xdr:row>
      <xdr:rowOff>133350</xdr:rowOff>
    </xdr:to>
    <xdr:sp>
      <xdr:nvSpPr>
        <xdr:cNvPr id="95" name="Line 149"/>
        <xdr:cNvSpPr>
          <a:spLocks/>
        </xdr:cNvSpPr>
      </xdr:nvSpPr>
      <xdr:spPr>
        <a:xfrm>
          <a:off x="3629025" y="1447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8</xdr:row>
      <xdr:rowOff>0</xdr:rowOff>
    </xdr:from>
    <xdr:to>
      <xdr:col>12</xdr:col>
      <xdr:colOff>209550</xdr:colOff>
      <xdr:row>9</xdr:row>
      <xdr:rowOff>0</xdr:rowOff>
    </xdr:to>
    <xdr:sp>
      <xdr:nvSpPr>
        <xdr:cNvPr id="96" name="Line 150"/>
        <xdr:cNvSpPr>
          <a:spLocks/>
        </xdr:cNvSpPr>
      </xdr:nvSpPr>
      <xdr:spPr>
        <a:xfrm>
          <a:off x="3638550" y="11620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14</xdr:row>
      <xdr:rowOff>9525</xdr:rowOff>
    </xdr:from>
    <xdr:to>
      <xdr:col>6</xdr:col>
      <xdr:colOff>238125</xdr:colOff>
      <xdr:row>14</xdr:row>
      <xdr:rowOff>133350</xdr:rowOff>
    </xdr:to>
    <xdr:sp>
      <xdr:nvSpPr>
        <xdr:cNvPr id="97" name="Line 151"/>
        <xdr:cNvSpPr>
          <a:spLocks/>
        </xdr:cNvSpPr>
      </xdr:nvSpPr>
      <xdr:spPr>
        <a:xfrm>
          <a:off x="1952625" y="20288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12</xdr:row>
      <xdr:rowOff>9525</xdr:rowOff>
    </xdr:from>
    <xdr:to>
      <xdr:col>6</xdr:col>
      <xdr:colOff>219075</xdr:colOff>
      <xdr:row>12</xdr:row>
      <xdr:rowOff>133350</xdr:rowOff>
    </xdr:to>
    <xdr:sp>
      <xdr:nvSpPr>
        <xdr:cNvPr id="98" name="Line 152"/>
        <xdr:cNvSpPr>
          <a:spLocks/>
        </xdr:cNvSpPr>
      </xdr:nvSpPr>
      <xdr:spPr>
        <a:xfrm>
          <a:off x="1933575" y="17430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15</xdr:row>
      <xdr:rowOff>85725</xdr:rowOff>
    </xdr:from>
    <xdr:to>
      <xdr:col>8</xdr:col>
      <xdr:colOff>0</xdr:colOff>
      <xdr:row>15</xdr:row>
      <xdr:rowOff>85725</xdr:rowOff>
    </xdr:to>
    <xdr:sp>
      <xdr:nvSpPr>
        <xdr:cNvPr id="99" name="Line 153"/>
        <xdr:cNvSpPr>
          <a:spLocks/>
        </xdr:cNvSpPr>
      </xdr:nvSpPr>
      <xdr:spPr>
        <a:xfrm>
          <a:off x="1990725" y="22479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276225</xdr:colOff>
      <xdr:row>27</xdr:row>
      <xdr:rowOff>95250</xdr:rowOff>
    </xdr:from>
    <xdr:to>
      <xdr:col>30</xdr:col>
      <xdr:colOff>0</xdr:colOff>
      <xdr:row>27</xdr:row>
      <xdr:rowOff>95250</xdr:rowOff>
    </xdr:to>
    <xdr:sp>
      <xdr:nvSpPr>
        <xdr:cNvPr id="100" name="Line 156"/>
        <xdr:cNvSpPr>
          <a:spLocks/>
        </xdr:cNvSpPr>
      </xdr:nvSpPr>
      <xdr:spPr>
        <a:xfrm>
          <a:off x="8277225" y="39719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209550</xdr:colOff>
      <xdr:row>22</xdr:row>
      <xdr:rowOff>9525</xdr:rowOff>
    </xdr:from>
    <xdr:to>
      <xdr:col>28</xdr:col>
      <xdr:colOff>209550</xdr:colOff>
      <xdr:row>23</xdr:row>
      <xdr:rowOff>9525</xdr:rowOff>
    </xdr:to>
    <xdr:sp>
      <xdr:nvSpPr>
        <xdr:cNvPr id="101" name="Line 157"/>
        <xdr:cNvSpPr>
          <a:spLocks/>
        </xdr:cNvSpPr>
      </xdr:nvSpPr>
      <xdr:spPr>
        <a:xfrm>
          <a:off x="8210550" y="31718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21</xdr:row>
      <xdr:rowOff>95250</xdr:rowOff>
    </xdr:from>
    <xdr:to>
      <xdr:col>30</xdr:col>
      <xdr:colOff>9525</xdr:colOff>
      <xdr:row>21</xdr:row>
      <xdr:rowOff>95250</xdr:rowOff>
    </xdr:to>
    <xdr:sp>
      <xdr:nvSpPr>
        <xdr:cNvPr id="102" name="Line 158"/>
        <xdr:cNvSpPr>
          <a:spLocks/>
        </xdr:cNvSpPr>
      </xdr:nvSpPr>
      <xdr:spPr>
        <a:xfrm>
          <a:off x="8296275" y="31146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19</xdr:row>
      <xdr:rowOff>123825</xdr:rowOff>
    </xdr:from>
    <xdr:to>
      <xdr:col>30</xdr:col>
      <xdr:colOff>0</xdr:colOff>
      <xdr:row>21</xdr:row>
      <xdr:rowOff>9525</xdr:rowOff>
    </xdr:to>
    <xdr:sp>
      <xdr:nvSpPr>
        <xdr:cNvPr id="103" name="Line 159"/>
        <xdr:cNvSpPr>
          <a:spLocks/>
        </xdr:cNvSpPr>
      </xdr:nvSpPr>
      <xdr:spPr>
        <a:xfrm flipV="1">
          <a:off x="8296275" y="2857500"/>
          <a:ext cx="2762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20</xdr:row>
      <xdr:rowOff>0</xdr:rowOff>
    </xdr:from>
    <xdr:to>
      <xdr:col>30</xdr:col>
      <xdr:colOff>247650</xdr:colOff>
      <xdr:row>21</xdr:row>
      <xdr:rowOff>0</xdr:rowOff>
    </xdr:to>
    <xdr:sp>
      <xdr:nvSpPr>
        <xdr:cNvPr id="104" name="Line 160"/>
        <xdr:cNvSpPr>
          <a:spLocks/>
        </xdr:cNvSpPr>
      </xdr:nvSpPr>
      <xdr:spPr>
        <a:xfrm>
          <a:off x="8820150" y="28765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238125</xdr:colOff>
      <xdr:row>18</xdr:row>
      <xdr:rowOff>9525</xdr:rowOff>
    </xdr:from>
    <xdr:to>
      <xdr:col>30</xdr:col>
      <xdr:colOff>238125</xdr:colOff>
      <xdr:row>19</xdr:row>
      <xdr:rowOff>0</xdr:rowOff>
    </xdr:to>
    <xdr:sp>
      <xdr:nvSpPr>
        <xdr:cNvPr id="105" name="Line 161"/>
        <xdr:cNvSpPr>
          <a:spLocks/>
        </xdr:cNvSpPr>
      </xdr:nvSpPr>
      <xdr:spPr>
        <a:xfrm>
          <a:off x="8810625" y="26003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16</xdr:row>
      <xdr:rowOff>0</xdr:rowOff>
    </xdr:from>
    <xdr:to>
      <xdr:col>30</xdr:col>
      <xdr:colOff>247650</xdr:colOff>
      <xdr:row>17</xdr:row>
      <xdr:rowOff>0</xdr:rowOff>
    </xdr:to>
    <xdr:sp>
      <xdr:nvSpPr>
        <xdr:cNvPr id="106" name="Line 163"/>
        <xdr:cNvSpPr>
          <a:spLocks/>
        </xdr:cNvSpPr>
      </xdr:nvSpPr>
      <xdr:spPr>
        <a:xfrm>
          <a:off x="8820150" y="23050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15</xdr:row>
      <xdr:rowOff>133350</xdr:rowOff>
    </xdr:from>
    <xdr:to>
      <xdr:col>30</xdr:col>
      <xdr:colOff>0</xdr:colOff>
      <xdr:row>16</xdr:row>
      <xdr:rowOff>133350</xdr:rowOff>
    </xdr:to>
    <xdr:sp>
      <xdr:nvSpPr>
        <xdr:cNvPr id="107" name="Line 164"/>
        <xdr:cNvSpPr>
          <a:spLocks/>
        </xdr:cNvSpPr>
      </xdr:nvSpPr>
      <xdr:spPr>
        <a:xfrm flipH="1">
          <a:off x="8305800" y="2295525"/>
          <a:ext cx="266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276225</xdr:colOff>
      <xdr:row>17</xdr:row>
      <xdr:rowOff>95250</xdr:rowOff>
    </xdr:from>
    <xdr:to>
      <xdr:col>29</xdr:col>
      <xdr:colOff>276225</xdr:colOff>
      <xdr:row>17</xdr:row>
      <xdr:rowOff>95250</xdr:rowOff>
    </xdr:to>
    <xdr:sp>
      <xdr:nvSpPr>
        <xdr:cNvPr id="108" name="Line 165"/>
        <xdr:cNvSpPr>
          <a:spLocks/>
        </xdr:cNvSpPr>
      </xdr:nvSpPr>
      <xdr:spPr>
        <a:xfrm>
          <a:off x="8277225" y="25431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18</xdr:row>
      <xdr:rowOff>9525</xdr:rowOff>
    </xdr:from>
    <xdr:to>
      <xdr:col>30</xdr:col>
      <xdr:colOff>0</xdr:colOff>
      <xdr:row>18</xdr:row>
      <xdr:rowOff>133350</xdr:rowOff>
    </xdr:to>
    <xdr:sp>
      <xdr:nvSpPr>
        <xdr:cNvPr id="109" name="Line 166"/>
        <xdr:cNvSpPr>
          <a:spLocks/>
        </xdr:cNvSpPr>
      </xdr:nvSpPr>
      <xdr:spPr>
        <a:xfrm>
          <a:off x="8286750" y="2600325"/>
          <a:ext cx="2857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21</xdr:row>
      <xdr:rowOff>133350</xdr:rowOff>
    </xdr:from>
    <xdr:to>
      <xdr:col>30</xdr:col>
      <xdr:colOff>247650</xdr:colOff>
      <xdr:row>22</xdr:row>
      <xdr:rowOff>133350</xdr:rowOff>
    </xdr:to>
    <xdr:sp>
      <xdr:nvSpPr>
        <xdr:cNvPr id="110" name="Line 167"/>
        <xdr:cNvSpPr>
          <a:spLocks/>
        </xdr:cNvSpPr>
      </xdr:nvSpPr>
      <xdr:spPr>
        <a:xfrm>
          <a:off x="8820150" y="3152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24</xdr:row>
      <xdr:rowOff>9525</xdr:rowOff>
    </xdr:from>
    <xdr:to>
      <xdr:col>31</xdr:col>
      <xdr:colOff>276225</xdr:colOff>
      <xdr:row>24</xdr:row>
      <xdr:rowOff>133350</xdr:rowOff>
    </xdr:to>
    <xdr:sp>
      <xdr:nvSpPr>
        <xdr:cNvPr id="111" name="Line 168"/>
        <xdr:cNvSpPr>
          <a:spLocks/>
        </xdr:cNvSpPr>
      </xdr:nvSpPr>
      <xdr:spPr>
        <a:xfrm>
          <a:off x="8896350" y="3457575"/>
          <a:ext cx="266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25</xdr:row>
      <xdr:rowOff>133350</xdr:rowOff>
    </xdr:from>
    <xdr:to>
      <xdr:col>32</xdr:col>
      <xdr:colOff>0</xdr:colOff>
      <xdr:row>27</xdr:row>
      <xdr:rowOff>0</xdr:rowOff>
    </xdr:to>
    <xdr:sp>
      <xdr:nvSpPr>
        <xdr:cNvPr id="112" name="Line 169"/>
        <xdr:cNvSpPr>
          <a:spLocks/>
        </xdr:cNvSpPr>
      </xdr:nvSpPr>
      <xdr:spPr>
        <a:xfrm flipH="1">
          <a:off x="8896350" y="3724275"/>
          <a:ext cx="2762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95250</xdr:rowOff>
    </xdr:from>
    <xdr:to>
      <xdr:col>32</xdr:col>
      <xdr:colOff>0</xdr:colOff>
      <xdr:row>27</xdr:row>
      <xdr:rowOff>95250</xdr:rowOff>
    </xdr:to>
    <xdr:sp>
      <xdr:nvSpPr>
        <xdr:cNvPr id="113" name="Line 170"/>
        <xdr:cNvSpPr>
          <a:spLocks/>
        </xdr:cNvSpPr>
      </xdr:nvSpPr>
      <xdr:spPr>
        <a:xfrm>
          <a:off x="8886825" y="39719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209550</xdr:colOff>
      <xdr:row>26</xdr:row>
      <xdr:rowOff>9525</xdr:rowOff>
    </xdr:from>
    <xdr:to>
      <xdr:col>32</xdr:col>
      <xdr:colOff>209550</xdr:colOff>
      <xdr:row>27</xdr:row>
      <xdr:rowOff>0</xdr:rowOff>
    </xdr:to>
    <xdr:sp>
      <xdr:nvSpPr>
        <xdr:cNvPr id="114" name="Line 171"/>
        <xdr:cNvSpPr>
          <a:spLocks/>
        </xdr:cNvSpPr>
      </xdr:nvSpPr>
      <xdr:spPr>
        <a:xfrm>
          <a:off x="9382125" y="37433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219075</xdr:colOff>
      <xdr:row>28</xdr:row>
      <xdr:rowOff>9525</xdr:rowOff>
    </xdr:from>
    <xdr:to>
      <xdr:col>32</xdr:col>
      <xdr:colOff>219075</xdr:colOff>
      <xdr:row>29</xdr:row>
      <xdr:rowOff>0</xdr:rowOff>
    </xdr:to>
    <xdr:sp>
      <xdr:nvSpPr>
        <xdr:cNvPr id="115" name="Line 172"/>
        <xdr:cNvSpPr>
          <a:spLocks/>
        </xdr:cNvSpPr>
      </xdr:nvSpPr>
      <xdr:spPr>
        <a:xfrm>
          <a:off x="9391650" y="40290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28</xdr:row>
      <xdr:rowOff>0</xdr:rowOff>
    </xdr:from>
    <xdr:to>
      <xdr:col>33</xdr:col>
      <xdr:colOff>276225</xdr:colOff>
      <xdr:row>29</xdr:row>
      <xdr:rowOff>19050</xdr:rowOff>
    </xdr:to>
    <xdr:sp>
      <xdr:nvSpPr>
        <xdr:cNvPr id="116" name="Line 173"/>
        <xdr:cNvSpPr>
          <a:spLocks/>
        </xdr:cNvSpPr>
      </xdr:nvSpPr>
      <xdr:spPr>
        <a:xfrm flipV="1">
          <a:off x="9458325" y="4019550"/>
          <a:ext cx="2762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85725</xdr:rowOff>
    </xdr:from>
    <xdr:to>
      <xdr:col>34</xdr:col>
      <xdr:colOff>0</xdr:colOff>
      <xdr:row>25</xdr:row>
      <xdr:rowOff>85725</xdr:rowOff>
    </xdr:to>
    <xdr:sp>
      <xdr:nvSpPr>
        <xdr:cNvPr id="117" name="Line 174"/>
        <xdr:cNvSpPr>
          <a:spLocks/>
        </xdr:cNvSpPr>
      </xdr:nvSpPr>
      <xdr:spPr>
        <a:xfrm>
          <a:off x="9467850" y="36766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25</xdr:row>
      <xdr:rowOff>95250</xdr:rowOff>
    </xdr:from>
    <xdr:to>
      <xdr:col>36</xdr:col>
      <xdr:colOff>0</xdr:colOff>
      <xdr:row>25</xdr:row>
      <xdr:rowOff>95250</xdr:rowOff>
    </xdr:to>
    <xdr:sp>
      <xdr:nvSpPr>
        <xdr:cNvPr id="118" name="Line 175"/>
        <xdr:cNvSpPr>
          <a:spLocks/>
        </xdr:cNvSpPr>
      </xdr:nvSpPr>
      <xdr:spPr>
        <a:xfrm>
          <a:off x="10029825" y="36861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9525</xdr:colOff>
      <xdr:row>27</xdr:row>
      <xdr:rowOff>95250</xdr:rowOff>
    </xdr:from>
    <xdr:to>
      <xdr:col>36</xdr:col>
      <xdr:colOff>0</xdr:colOff>
      <xdr:row>27</xdr:row>
      <xdr:rowOff>95250</xdr:rowOff>
    </xdr:to>
    <xdr:sp>
      <xdr:nvSpPr>
        <xdr:cNvPr id="119" name="Line 176"/>
        <xdr:cNvSpPr>
          <a:spLocks/>
        </xdr:cNvSpPr>
      </xdr:nvSpPr>
      <xdr:spPr>
        <a:xfrm>
          <a:off x="10039350" y="3971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26</xdr:row>
      <xdr:rowOff>9525</xdr:rowOff>
    </xdr:from>
    <xdr:to>
      <xdr:col>35</xdr:col>
      <xdr:colOff>276225</xdr:colOff>
      <xdr:row>26</xdr:row>
      <xdr:rowOff>133350</xdr:rowOff>
    </xdr:to>
    <xdr:sp>
      <xdr:nvSpPr>
        <xdr:cNvPr id="120" name="Line 177"/>
        <xdr:cNvSpPr>
          <a:spLocks/>
        </xdr:cNvSpPr>
      </xdr:nvSpPr>
      <xdr:spPr>
        <a:xfrm flipV="1">
          <a:off x="10029825" y="3743325"/>
          <a:ext cx="2762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219075</xdr:colOff>
      <xdr:row>26</xdr:row>
      <xdr:rowOff>9525</xdr:rowOff>
    </xdr:from>
    <xdr:to>
      <xdr:col>36</xdr:col>
      <xdr:colOff>219075</xdr:colOff>
      <xdr:row>27</xdr:row>
      <xdr:rowOff>0</xdr:rowOff>
    </xdr:to>
    <xdr:sp>
      <xdr:nvSpPr>
        <xdr:cNvPr id="121" name="Line 178"/>
        <xdr:cNvSpPr>
          <a:spLocks/>
        </xdr:cNvSpPr>
      </xdr:nvSpPr>
      <xdr:spPr>
        <a:xfrm>
          <a:off x="10534650" y="37433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27</xdr:row>
      <xdr:rowOff>95250</xdr:rowOff>
    </xdr:from>
    <xdr:to>
      <xdr:col>37</xdr:col>
      <xdr:colOff>276225</xdr:colOff>
      <xdr:row>27</xdr:row>
      <xdr:rowOff>95250</xdr:rowOff>
    </xdr:to>
    <xdr:sp>
      <xdr:nvSpPr>
        <xdr:cNvPr id="122" name="Line 179"/>
        <xdr:cNvSpPr>
          <a:spLocks/>
        </xdr:cNvSpPr>
      </xdr:nvSpPr>
      <xdr:spPr>
        <a:xfrm>
          <a:off x="10601325" y="3971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228600</xdr:colOff>
      <xdr:row>26</xdr:row>
      <xdr:rowOff>9525</xdr:rowOff>
    </xdr:from>
    <xdr:to>
      <xdr:col>38</xdr:col>
      <xdr:colOff>228600</xdr:colOff>
      <xdr:row>27</xdr:row>
      <xdr:rowOff>9525</xdr:rowOff>
    </xdr:to>
    <xdr:sp>
      <xdr:nvSpPr>
        <xdr:cNvPr id="123" name="Line 180"/>
        <xdr:cNvSpPr>
          <a:spLocks/>
        </xdr:cNvSpPr>
      </xdr:nvSpPr>
      <xdr:spPr>
        <a:xfrm>
          <a:off x="11115675" y="37433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200025</xdr:colOff>
      <xdr:row>24</xdr:row>
      <xdr:rowOff>9525</xdr:rowOff>
    </xdr:from>
    <xdr:to>
      <xdr:col>38</xdr:col>
      <xdr:colOff>200025</xdr:colOff>
      <xdr:row>24</xdr:row>
      <xdr:rowOff>133350</xdr:rowOff>
    </xdr:to>
    <xdr:sp>
      <xdr:nvSpPr>
        <xdr:cNvPr id="124" name="Line 181"/>
        <xdr:cNvSpPr>
          <a:spLocks/>
        </xdr:cNvSpPr>
      </xdr:nvSpPr>
      <xdr:spPr>
        <a:xfrm>
          <a:off x="11087100" y="34575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219075</xdr:colOff>
      <xdr:row>22</xdr:row>
      <xdr:rowOff>0</xdr:rowOff>
    </xdr:from>
    <xdr:to>
      <xdr:col>38</xdr:col>
      <xdr:colOff>219075</xdr:colOff>
      <xdr:row>23</xdr:row>
      <xdr:rowOff>0</xdr:rowOff>
    </xdr:to>
    <xdr:sp>
      <xdr:nvSpPr>
        <xdr:cNvPr id="125" name="Line 182"/>
        <xdr:cNvSpPr>
          <a:spLocks/>
        </xdr:cNvSpPr>
      </xdr:nvSpPr>
      <xdr:spPr>
        <a:xfrm>
          <a:off x="11106150" y="31623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9525</xdr:colOff>
      <xdr:row>25</xdr:row>
      <xdr:rowOff>76200</xdr:rowOff>
    </xdr:from>
    <xdr:to>
      <xdr:col>37</xdr:col>
      <xdr:colOff>276225</xdr:colOff>
      <xdr:row>25</xdr:row>
      <xdr:rowOff>76200</xdr:rowOff>
    </xdr:to>
    <xdr:sp>
      <xdr:nvSpPr>
        <xdr:cNvPr id="126" name="Line 183"/>
        <xdr:cNvSpPr>
          <a:spLocks/>
        </xdr:cNvSpPr>
      </xdr:nvSpPr>
      <xdr:spPr>
        <a:xfrm>
          <a:off x="10610850" y="36671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219075</xdr:colOff>
      <xdr:row>24</xdr:row>
      <xdr:rowOff>9525</xdr:rowOff>
    </xdr:from>
    <xdr:to>
      <xdr:col>36</xdr:col>
      <xdr:colOff>219075</xdr:colOff>
      <xdr:row>24</xdr:row>
      <xdr:rowOff>133350</xdr:rowOff>
    </xdr:to>
    <xdr:sp>
      <xdr:nvSpPr>
        <xdr:cNvPr id="127" name="Line 184"/>
        <xdr:cNvSpPr>
          <a:spLocks/>
        </xdr:cNvSpPr>
      </xdr:nvSpPr>
      <xdr:spPr>
        <a:xfrm>
          <a:off x="10534650" y="34575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209550</xdr:colOff>
      <xdr:row>22</xdr:row>
      <xdr:rowOff>9525</xdr:rowOff>
    </xdr:from>
    <xdr:to>
      <xdr:col>36</xdr:col>
      <xdr:colOff>209550</xdr:colOff>
      <xdr:row>22</xdr:row>
      <xdr:rowOff>133350</xdr:rowOff>
    </xdr:to>
    <xdr:sp>
      <xdr:nvSpPr>
        <xdr:cNvPr id="128" name="Line 185"/>
        <xdr:cNvSpPr>
          <a:spLocks/>
        </xdr:cNvSpPr>
      </xdr:nvSpPr>
      <xdr:spPr>
        <a:xfrm>
          <a:off x="10525125" y="31718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276225</xdr:colOff>
      <xdr:row>21</xdr:row>
      <xdr:rowOff>95250</xdr:rowOff>
    </xdr:from>
    <xdr:to>
      <xdr:col>38</xdr:col>
      <xdr:colOff>0</xdr:colOff>
      <xdr:row>21</xdr:row>
      <xdr:rowOff>95250</xdr:rowOff>
    </xdr:to>
    <xdr:sp>
      <xdr:nvSpPr>
        <xdr:cNvPr id="129" name="Line 186"/>
        <xdr:cNvSpPr>
          <a:spLocks/>
        </xdr:cNvSpPr>
      </xdr:nvSpPr>
      <xdr:spPr>
        <a:xfrm>
          <a:off x="10591800" y="31146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21</xdr:row>
      <xdr:rowOff>133350</xdr:rowOff>
    </xdr:from>
    <xdr:to>
      <xdr:col>39</xdr:col>
      <xdr:colOff>276225</xdr:colOff>
      <xdr:row>23</xdr:row>
      <xdr:rowOff>0</xdr:rowOff>
    </xdr:to>
    <xdr:sp>
      <xdr:nvSpPr>
        <xdr:cNvPr id="130" name="Line 187"/>
        <xdr:cNvSpPr>
          <a:spLocks/>
        </xdr:cNvSpPr>
      </xdr:nvSpPr>
      <xdr:spPr>
        <a:xfrm>
          <a:off x="11182350" y="3152775"/>
          <a:ext cx="2667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23</xdr:row>
      <xdr:rowOff>104775</xdr:rowOff>
    </xdr:from>
    <xdr:to>
      <xdr:col>40</xdr:col>
      <xdr:colOff>0</xdr:colOff>
      <xdr:row>23</xdr:row>
      <xdr:rowOff>104775</xdr:rowOff>
    </xdr:to>
    <xdr:sp>
      <xdr:nvSpPr>
        <xdr:cNvPr id="131" name="Line 188"/>
        <xdr:cNvSpPr>
          <a:spLocks/>
        </xdr:cNvSpPr>
      </xdr:nvSpPr>
      <xdr:spPr>
        <a:xfrm>
          <a:off x="11182350" y="34099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6</xdr:row>
      <xdr:rowOff>0</xdr:rowOff>
    </xdr:from>
    <xdr:to>
      <xdr:col>30</xdr:col>
      <xdr:colOff>247650</xdr:colOff>
      <xdr:row>7</xdr:row>
      <xdr:rowOff>9525</xdr:rowOff>
    </xdr:to>
    <xdr:sp>
      <xdr:nvSpPr>
        <xdr:cNvPr id="132" name="Line 189"/>
        <xdr:cNvSpPr>
          <a:spLocks/>
        </xdr:cNvSpPr>
      </xdr:nvSpPr>
      <xdr:spPr>
        <a:xfrm>
          <a:off x="8820150" y="8763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295275</xdr:colOff>
      <xdr:row>6</xdr:row>
      <xdr:rowOff>9525</xdr:rowOff>
    </xdr:from>
    <xdr:to>
      <xdr:col>32</xdr:col>
      <xdr:colOff>9525</xdr:colOff>
      <xdr:row>7</xdr:row>
      <xdr:rowOff>19050</xdr:rowOff>
    </xdr:to>
    <xdr:sp>
      <xdr:nvSpPr>
        <xdr:cNvPr id="133" name="Line 191"/>
        <xdr:cNvSpPr>
          <a:spLocks/>
        </xdr:cNvSpPr>
      </xdr:nvSpPr>
      <xdr:spPr>
        <a:xfrm flipV="1">
          <a:off x="8867775" y="885825"/>
          <a:ext cx="3143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219075</xdr:colOff>
      <xdr:row>4</xdr:row>
      <xdr:rowOff>9525</xdr:rowOff>
    </xdr:from>
    <xdr:to>
      <xdr:col>14</xdr:col>
      <xdr:colOff>219075</xdr:colOff>
      <xdr:row>4</xdr:row>
      <xdr:rowOff>123825</xdr:rowOff>
    </xdr:to>
    <xdr:sp>
      <xdr:nvSpPr>
        <xdr:cNvPr id="134" name="Line 192"/>
        <xdr:cNvSpPr>
          <a:spLocks/>
        </xdr:cNvSpPr>
      </xdr:nvSpPr>
      <xdr:spPr>
        <a:xfrm flipV="1">
          <a:off x="4219575" y="6000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104775</xdr:rowOff>
    </xdr:from>
    <xdr:to>
      <xdr:col>15</xdr:col>
      <xdr:colOff>276225</xdr:colOff>
      <xdr:row>3</xdr:row>
      <xdr:rowOff>104775</xdr:rowOff>
    </xdr:to>
    <xdr:sp>
      <xdr:nvSpPr>
        <xdr:cNvPr id="135" name="Line 193"/>
        <xdr:cNvSpPr>
          <a:spLocks/>
        </xdr:cNvSpPr>
      </xdr:nvSpPr>
      <xdr:spPr>
        <a:xfrm>
          <a:off x="4286250" y="542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219075</xdr:colOff>
      <xdr:row>3</xdr:row>
      <xdr:rowOff>133350</xdr:rowOff>
    </xdr:from>
    <xdr:to>
      <xdr:col>32</xdr:col>
      <xdr:colOff>219075</xdr:colOff>
      <xdr:row>5</xdr:row>
      <xdr:rowOff>9525</xdr:rowOff>
    </xdr:to>
    <xdr:sp>
      <xdr:nvSpPr>
        <xdr:cNvPr id="136" name="Line 194"/>
        <xdr:cNvSpPr>
          <a:spLocks/>
        </xdr:cNvSpPr>
      </xdr:nvSpPr>
      <xdr:spPr>
        <a:xfrm>
          <a:off x="9391650" y="5715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276225</xdr:colOff>
      <xdr:row>26</xdr:row>
      <xdr:rowOff>85725</xdr:rowOff>
    </xdr:from>
    <xdr:to>
      <xdr:col>22</xdr:col>
      <xdr:colOff>9525</xdr:colOff>
      <xdr:row>26</xdr:row>
      <xdr:rowOff>85725</xdr:rowOff>
    </xdr:to>
    <xdr:sp>
      <xdr:nvSpPr>
        <xdr:cNvPr id="137" name="Line 195"/>
        <xdr:cNvSpPr>
          <a:spLocks/>
        </xdr:cNvSpPr>
      </xdr:nvSpPr>
      <xdr:spPr>
        <a:xfrm>
          <a:off x="5991225" y="38195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209550</xdr:colOff>
      <xdr:row>28</xdr:row>
      <xdr:rowOff>0</xdr:rowOff>
    </xdr:from>
    <xdr:to>
      <xdr:col>28</xdr:col>
      <xdr:colOff>209550</xdr:colOff>
      <xdr:row>30</xdr:row>
      <xdr:rowOff>133350</xdr:rowOff>
    </xdr:to>
    <xdr:sp>
      <xdr:nvSpPr>
        <xdr:cNvPr id="138" name="Line 41"/>
        <xdr:cNvSpPr>
          <a:spLocks/>
        </xdr:cNvSpPr>
      </xdr:nvSpPr>
      <xdr:spPr>
        <a:xfrm>
          <a:off x="8210550" y="40195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219075</xdr:colOff>
      <xdr:row>26</xdr:row>
      <xdr:rowOff>0</xdr:rowOff>
    </xdr:from>
    <xdr:to>
      <xdr:col>26</xdr:col>
      <xdr:colOff>219075</xdr:colOff>
      <xdr:row>27</xdr:row>
      <xdr:rowOff>9525</xdr:rowOff>
    </xdr:to>
    <xdr:sp>
      <xdr:nvSpPr>
        <xdr:cNvPr id="139" name="Line 137"/>
        <xdr:cNvSpPr>
          <a:spLocks/>
        </xdr:cNvSpPr>
      </xdr:nvSpPr>
      <xdr:spPr>
        <a:xfrm>
          <a:off x="7648575" y="3733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showGridLines="0" tabSelected="1" zoomScalePageLayoutView="0" workbookViewId="0" topLeftCell="A1">
      <selection activeCell="J20" sqref="J20"/>
    </sheetView>
  </sheetViews>
  <sheetFormatPr defaultColWidth="9.00390625" defaultRowHeight="13.5"/>
  <cols>
    <col min="1" max="9" width="9.75390625" style="14" customWidth="1"/>
    <col min="10" max="16384" width="9.00390625" style="14" customWidth="1"/>
  </cols>
  <sheetData>
    <row r="2" spans="1:9" ht="27" customHeight="1">
      <c r="A2" s="30" t="s">
        <v>172</v>
      </c>
      <c r="B2" s="35"/>
      <c r="C2" s="31" t="s">
        <v>174</v>
      </c>
      <c r="D2" s="28" t="s">
        <v>159</v>
      </c>
      <c r="E2" s="28" t="s">
        <v>178</v>
      </c>
      <c r="F2" s="28" t="s">
        <v>179</v>
      </c>
      <c r="G2" s="28" t="s">
        <v>180</v>
      </c>
      <c r="H2" s="28" t="s">
        <v>183</v>
      </c>
      <c r="I2" s="28" t="s">
        <v>195</v>
      </c>
    </row>
    <row r="3" spans="1:9" ht="27" customHeight="1">
      <c r="A3" s="36"/>
      <c r="B3" s="30" t="s">
        <v>175</v>
      </c>
      <c r="C3" s="31"/>
      <c r="D3" s="37">
        <v>3202.0999999986407</v>
      </c>
      <c r="E3" s="37">
        <v>3130.7</v>
      </c>
      <c r="F3" s="37">
        <v>3092.9999999983997</v>
      </c>
      <c r="G3" s="37">
        <v>3074.9</v>
      </c>
      <c r="H3" s="37">
        <v>3294.5</v>
      </c>
      <c r="I3" s="37">
        <v>3329.2</v>
      </c>
    </row>
    <row r="4" spans="1:9" ht="27" customHeight="1">
      <c r="A4" s="32" t="s">
        <v>177</v>
      </c>
      <c r="B4" s="32"/>
      <c r="C4" s="29" t="s">
        <v>176</v>
      </c>
      <c r="D4" s="28">
        <f>D3-$I$3</f>
        <v>-127.10000000135915</v>
      </c>
      <c r="E4" s="28">
        <f>E3-$I$3</f>
        <v>-198.5</v>
      </c>
      <c r="F4" s="28">
        <f>F3-$I$3</f>
        <v>-236.20000000160007</v>
      </c>
      <c r="G4" s="28">
        <f>G3-$I$3</f>
        <v>-254.29999999999973</v>
      </c>
      <c r="H4" s="28">
        <f>H3-$I$3</f>
        <v>-34.69999999999982</v>
      </c>
      <c r="I4" s="28">
        <f>I3-$I$3</f>
        <v>0</v>
      </c>
    </row>
    <row r="5" spans="1:9" ht="27" customHeight="1">
      <c r="A5" s="28" t="s">
        <v>156</v>
      </c>
      <c r="B5" s="37">
        <v>1316.9</v>
      </c>
      <c r="C5" s="28">
        <f>B5-$B$9</f>
        <v>-174.5</v>
      </c>
      <c r="D5" s="28" t="s">
        <v>221</v>
      </c>
      <c r="E5" s="28" t="s">
        <v>221</v>
      </c>
      <c r="F5" s="28" t="s">
        <v>221</v>
      </c>
      <c r="G5" s="28" t="s">
        <v>221</v>
      </c>
      <c r="H5" s="28" t="s">
        <v>221</v>
      </c>
      <c r="I5" s="28" t="s">
        <v>221</v>
      </c>
    </row>
    <row r="6" spans="1:9" ht="27" customHeight="1">
      <c r="A6" s="28" t="s">
        <v>179</v>
      </c>
      <c r="B6" s="37">
        <v>1255.5</v>
      </c>
      <c r="C6" s="28">
        <f>B6-$B$9</f>
        <v>-235.9000000000001</v>
      </c>
      <c r="D6" s="28" t="s">
        <v>221</v>
      </c>
      <c r="E6" s="28" t="s">
        <v>221</v>
      </c>
      <c r="F6" s="28" t="s">
        <v>221</v>
      </c>
      <c r="G6" s="28" t="s">
        <v>221</v>
      </c>
      <c r="H6" s="28" t="s">
        <v>221</v>
      </c>
      <c r="I6" s="28" t="s">
        <v>221</v>
      </c>
    </row>
    <row r="7" spans="1:9" ht="27" customHeight="1">
      <c r="A7" s="28" t="s">
        <v>178</v>
      </c>
      <c r="B7" s="37">
        <v>1369</v>
      </c>
      <c r="C7" s="28">
        <f>B7-$B$9</f>
        <v>-122.40000000000009</v>
      </c>
      <c r="D7" s="28" t="s">
        <v>221</v>
      </c>
      <c r="E7" s="28" t="s">
        <v>221</v>
      </c>
      <c r="F7" s="28" t="s">
        <v>221</v>
      </c>
      <c r="G7" s="28" t="s">
        <v>221</v>
      </c>
      <c r="H7" s="28" t="s">
        <v>221</v>
      </c>
      <c r="I7" s="28" t="s">
        <v>222</v>
      </c>
    </row>
    <row r="8" spans="1:9" ht="27" customHeight="1" thickBot="1">
      <c r="A8" s="28" t="s">
        <v>158</v>
      </c>
      <c r="B8" s="37">
        <v>1430</v>
      </c>
      <c r="C8" s="28">
        <f>B8-$B$9</f>
        <v>-61.40000000000009</v>
      </c>
      <c r="D8" s="28" t="s">
        <v>221</v>
      </c>
      <c r="E8" s="28" t="s">
        <v>221</v>
      </c>
      <c r="F8" s="28" t="s">
        <v>221</v>
      </c>
      <c r="G8" s="28" t="s">
        <v>221</v>
      </c>
      <c r="H8" s="28" t="s">
        <v>221</v>
      </c>
      <c r="I8" s="133" t="s">
        <v>221</v>
      </c>
    </row>
    <row r="9" spans="1:9" ht="27" customHeight="1" thickBot="1">
      <c r="A9" s="28" t="s">
        <v>161</v>
      </c>
      <c r="B9" s="37">
        <v>1491.4</v>
      </c>
      <c r="C9" s="28">
        <f>B9-$B$9</f>
        <v>0</v>
      </c>
      <c r="D9" s="28" t="s">
        <v>221</v>
      </c>
      <c r="E9" s="28" t="s">
        <v>221</v>
      </c>
      <c r="F9" s="28" t="s">
        <v>221</v>
      </c>
      <c r="G9" s="28" t="s">
        <v>221</v>
      </c>
      <c r="H9" s="132" t="s">
        <v>223</v>
      </c>
      <c r="I9" s="134">
        <v>3529.800000000002</v>
      </c>
    </row>
    <row r="10" ht="13.5">
      <c r="A10" s="20" t="s">
        <v>181</v>
      </c>
    </row>
    <row r="11" ht="13.5">
      <c r="A11" s="20" t="s">
        <v>182</v>
      </c>
    </row>
    <row r="12" ht="13.5">
      <c r="A12" s="20" t="s">
        <v>196</v>
      </c>
    </row>
    <row r="13" ht="13.5">
      <c r="A13" s="20" t="s">
        <v>184</v>
      </c>
    </row>
    <row r="14" ht="13.5">
      <c r="A14" s="20" t="s">
        <v>197</v>
      </c>
    </row>
    <row r="15" spans="5:7" ht="13.5">
      <c r="E15" s="15"/>
      <c r="F15" s="15"/>
      <c r="G15" s="15"/>
    </row>
    <row r="16" spans="1:7" ht="13.5">
      <c r="A16" s="14" t="s">
        <v>173</v>
      </c>
      <c r="E16" s="15"/>
      <c r="F16" s="15"/>
      <c r="G16" s="15"/>
    </row>
    <row r="17" spans="1:7" ht="13.5">
      <c r="A17" s="24" t="s">
        <v>170</v>
      </c>
      <c r="B17" s="25" t="s">
        <v>165</v>
      </c>
      <c r="C17" s="25" t="s">
        <v>166</v>
      </c>
      <c r="D17" s="25" t="s">
        <v>167</v>
      </c>
      <c r="E17" s="25" t="s">
        <v>168</v>
      </c>
      <c r="F17" s="22"/>
      <c r="G17" s="22"/>
    </row>
    <row r="18" spans="1:7" ht="13.5">
      <c r="A18" s="26" t="s">
        <v>171</v>
      </c>
      <c r="B18" s="27"/>
      <c r="C18" s="27"/>
      <c r="D18" s="27"/>
      <c r="E18" s="27"/>
      <c r="F18" s="22"/>
      <c r="G18" s="22"/>
    </row>
    <row r="19" spans="1:7" ht="27" customHeight="1">
      <c r="A19" s="33" t="s">
        <v>169</v>
      </c>
      <c r="B19" s="33">
        <v>3564.7</v>
      </c>
      <c r="C19" s="33">
        <v>3657.5</v>
      </c>
      <c r="D19" s="33">
        <v>3549.8</v>
      </c>
      <c r="E19" s="33">
        <v>3631.7</v>
      </c>
      <c r="F19" s="23"/>
      <c r="G19" s="23"/>
    </row>
    <row r="20" spans="1:7" ht="27" customHeight="1">
      <c r="A20" s="34" t="s">
        <v>201</v>
      </c>
      <c r="B20" s="38">
        <f>B19-$I$9</f>
        <v>34.89999999999782</v>
      </c>
      <c r="C20" s="38">
        <f>C19-$I$9</f>
        <v>127.699999999998</v>
      </c>
      <c r="D20" s="38">
        <f>D19-$I$9</f>
        <v>19.99999999999818</v>
      </c>
      <c r="E20" s="38">
        <f>E19-$I$9</f>
        <v>101.89999999999782</v>
      </c>
      <c r="F20" s="15"/>
      <c r="G20" s="15"/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M42"/>
  <sheetViews>
    <sheetView zoomScalePageLayoutView="0" workbookViewId="0" topLeftCell="A4">
      <selection activeCell="K40" sqref="K40"/>
    </sheetView>
  </sheetViews>
  <sheetFormatPr defaultColWidth="9.00390625" defaultRowHeight="13.5"/>
  <cols>
    <col min="1" max="7" width="3.75390625" style="1" customWidth="1"/>
    <col min="8" max="8" width="4.125" style="1" customWidth="1"/>
    <col min="9" max="17" width="3.75390625" style="1" customWidth="1"/>
    <col min="18" max="18" width="7.00390625" style="10" customWidth="1"/>
    <col min="19" max="19" width="3.75390625" style="1" customWidth="1"/>
    <col min="20" max="20" width="7.00390625" style="10" customWidth="1"/>
    <col min="21" max="65" width="3.75390625" style="1" customWidth="1"/>
    <col min="66" max="16384" width="9.00390625" style="1" customWidth="1"/>
  </cols>
  <sheetData>
    <row r="1" spans="16:39" ht="11.25">
      <c r="P1" s="90" t="s">
        <v>185</v>
      </c>
      <c r="Q1" s="90"/>
      <c r="R1" s="2" t="s">
        <v>186</v>
      </c>
      <c r="S1" s="2" t="s">
        <v>187</v>
      </c>
      <c r="T1" s="2" t="s">
        <v>188</v>
      </c>
      <c r="Z1" s="40" t="s">
        <v>189</v>
      </c>
      <c r="AA1" s="64"/>
      <c r="AB1" s="64"/>
      <c r="AC1" s="64"/>
      <c r="AD1" s="64"/>
      <c r="AE1" s="64"/>
      <c r="AF1" s="64"/>
      <c r="AG1" s="2" t="s">
        <v>190</v>
      </c>
      <c r="AH1" s="64" t="s">
        <v>191</v>
      </c>
      <c r="AI1" s="64"/>
      <c r="AJ1" s="64"/>
      <c r="AK1" s="64"/>
      <c r="AL1" s="64"/>
      <c r="AM1" s="41"/>
    </row>
    <row r="2" spans="16:39" ht="11.25">
      <c r="P2" s="2" t="s">
        <v>119</v>
      </c>
      <c r="Q2" s="2" t="s">
        <v>118</v>
      </c>
      <c r="R2" s="95">
        <f>31.1+147.2+56.7</f>
        <v>235</v>
      </c>
      <c r="S2" s="13">
        <v>0.9999999999798501</v>
      </c>
      <c r="T2" s="42">
        <f aca="true" t="shared" si="0" ref="T2:T33">R2*S2</f>
        <v>234.99999999526477</v>
      </c>
      <c r="Z2" s="13" t="s">
        <v>119</v>
      </c>
      <c r="AA2" s="63">
        <f>$I$5</f>
        <v>2.0149770740977997E-11</v>
      </c>
      <c r="AB2" s="63">
        <f>$F$4</f>
        <v>0.9999999999798501</v>
      </c>
      <c r="AC2" s="63"/>
      <c r="AD2" s="63"/>
      <c r="AE2" s="63"/>
      <c r="AF2" s="39"/>
      <c r="AG2" s="2">
        <f aca="true" t="shared" si="1" ref="AG2:AG21">SUM(AA2:AF2)</f>
        <v>0.9999999999999999</v>
      </c>
      <c r="AH2" s="16"/>
      <c r="AI2" s="63"/>
      <c r="AJ2" s="63"/>
      <c r="AK2" s="63"/>
      <c r="AL2" s="63"/>
      <c r="AM2" s="39"/>
    </row>
    <row r="3" spans="6:39" ht="11.25">
      <c r="F3" s="6"/>
      <c r="H3" s="4" t="s">
        <v>119</v>
      </c>
      <c r="P3" s="2" t="s">
        <v>119</v>
      </c>
      <c r="Q3" s="2" t="s">
        <v>116</v>
      </c>
      <c r="R3" s="95">
        <f>96.6+96</f>
        <v>192.6</v>
      </c>
      <c r="S3" s="13">
        <v>2.0149770740977997E-11</v>
      </c>
      <c r="T3" s="42">
        <f t="shared" si="0"/>
        <v>3.880845844712362E-09</v>
      </c>
      <c r="Z3" s="92" t="s">
        <v>116</v>
      </c>
      <c r="AA3" s="3">
        <f>$H$7</f>
        <v>0.9999999999798499</v>
      </c>
      <c r="AB3" s="3">
        <f>$J$8</f>
        <v>0</v>
      </c>
      <c r="AC3" s="3">
        <f>$K$8</f>
        <v>1</v>
      </c>
      <c r="AD3" s="3">
        <f>I5</f>
        <v>2.0149770740977997E-11</v>
      </c>
      <c r="AE3" s="3"/>
      <c r="AF3" s="61"/>
      <c r="AG3" s="65">
        <f t="shared" si="1"/>
        <v>1.9999999999999996</v>
      </c>
      <c r="AH3" s="60">
        <f>AG3/2</f>
        <v>0.9999999999999998</v>
      </c>
      <c r="AI3" s="3">
        <f>AG3/2</f>
        <v>0.9999999999999998</v>
      </c>
      <c r="AJ3" s="3">
        <f>AG3/2</f>
        <v>0.9999999999999998</v>
      </c>
      <c r="AK3" s="3"/>
      <c r="AL3" s="3"/>
      <c r="AM3" s="61"/>
    </row>
    <row r="4" spans="4:39" ht="11.25">
      <c r="D4" s="6"/>
      <c r="E4" s="6"/>
      <c r="F4" s="1">
        <f>S2</f>
        <v>0.9999999999798501</v>
      </c>
      <c r="P4" s="2" t="s">
        <v>116</v>
      </c>
      <c r="Q4" s="2" t="s">
        <v>117</v>
      </c>
      <c r="R4" s="95">
        <f>313.1-237.5</f>
        <v>75.60000000000002</v>
      </c>
      <c r="S4" s="13">
        <v>0.9999999999798499</v>
      </c>
      <c r="T4" s="42">
        <f t="shared" si="0"/>
        <v>75.59999999847668</v>
      </c>
      <c r="Z4" s="13" t="s">
        <v>113</v>
      </c>
      <c r="AA4" s="3">
        <f>$J$8</f>
        <v>0</v>
      </c>
      <c r="AB4" s="3">
        <f>$K$9</f>
        <v>0.9999999999999998</v>
      </c>
      <c r="AC4" s="3">
        <f>$J$10</f>
        <v>0.9999999999999998</v>
      </c>
      <c r="AD4" s="3"/>
      <c r="AE4" s="3"/>
      <c r="AF4" s="61"/>
      <c r="AG4" s="65">
        <f t="shared" si="1"/>
        <v>1.9999999999999996</v>
      </c>
      <c r="AH4" s="60">
        <f aca="true" t="shared" si="2" ref="AH4:AH21">AG4/2</f>
        <v>0.9999999999999998</v>
      </c>
      <c r="AI4" s="3">
        <f aca="true" t="shared" si="3" ref="AI4:AI21">AG4/2</f>
        <v>0.9999999999999998</v>
      </c>
      <c r="AJ4" s="3">
        <f aca="true" t="shared" si="4" ref="AJ4:AJ21">AG4/2</f>
        <v>0.9999999999999998</v>
      </c>
      <c r="AK4" s="3"/>
      <c r="AL4" s="3"/>
      <c r="AM4" s="61"/>
    </row>
    <row r="5" spans="4:39" ht="11.25">
      <c r="D5" s="6"/>
      <c r="E5" s="6"/>
      <c r="F5" s="6"/>
      <c r="I5" s="1">
        <f>S3</f>
        <v>2.0149770740977997E-11</v>
      </c>
      <c r="J5" s="6"/>
      <c r="P5" s="2" t="s">
        <v>116</v>
      </c>
      <c r="Q5" s="2" t="s">
        <v>113</v>
      </c>
      <c r="R5" s="95">
        <f>239.2-203.9</f>
        <v>35.29999999999998</v>
      </c>
      <c r="S5" s="13">
        <v>0</v>
      </c>
      <c r="T5" s="42">
        <f t="shared" si="0"/>
        <v>0</v>
      </c>
      <c r="Z5" s="13" t="s">
        <v>115</v>
      </c>
      <c r="AA5" s="3">
        <f>$K$8</f>
        <v>1</v>
      </c>
      <c r="AB5" s="3">
        <f>$K$9</f>
        <v>0.9999999999999998</v>
      </c>
      <c r="AC5" s="3">
        <f>$K$10</f>
        <v>0</v>
      </c>
      <c r="AD5" s="3"/>
      <c r="AE5" s="3"/>
      <c r="AF5" s="61"/>
      <c r="AG5" s="65">
        <f t="shared" si="1"/>
        <v>1.9999999999999998</v>
      </c>
      <c r="AH5" s="60">
        <f t="shared" si="2"/>
        <v>0.9999999999999999</v>
      </c>
      <c r="AI5" s="3">
        <f t="shared" si="3"/>
        <v>0.9999999999999999</v>
      </c>
      <c r="AJ5" s="3">
        <f t="shared" si="4"/>
        <v>0.9999999999999999</v>
      </c>
      <c r="AK5" s="3"/>
      <c r="AL5" s="3"/>
      <c r="AM5" s="61"/>
    </row>
    <row r="6" spans="4:39" ht="11.25">
      <c r="D6" s="6"/>
      <c r="E6" s="6"/>
      <c r="F6" s="6"/>
      <c r="J6" s="9"/>
      <c r="P6" s="2" t="s">
        <v>116</v>
      </c>
      <c r="Q6" s="2" t="s">
        <v>115</v>
      </c>
      <c r="R6" s="95">
        <v>241.3</v>
      </c>
      <c r="S6" s="13">
        <v>1</v>
      </c>
      <c r="T6" s="42">
        <f t="shared" si="0"/>
        <v>241.3</v>
      </c>
      <c r="Z6" s="13" t="s">
        <v>112</v>
      </c>
      <c r="AA6" s="3">
        <f>$J$10</f>
        <v>0.9999999999999998</v>
      </c>
      <c r="AB6" s="3">
        <f>$K$10</f>
        <v>0</v>
      </c>
      <c r="AC6" s="3">
        <f>$J$12</f>
        <v>4.4408900096110855E-16</v>
      </c>
      <c r="AD6" s="3">
        <f>$H$11</f>
        <v>0.9999999999999993</v>
      </c>
      <c r="AE6" s="3"/>
      <c r="AF6" s="61"/>
      <c r="AG6" s="65">
        <f t="shared" si="1"/>
        <v>1.9999999999999996</v>
      </c>
      <c r="AH6" s="60">
        <f t="shared" si="2"/>
        <v>0.9999999999999998</v>
      </c>
      <c r="AI6" s="3">
        <f t="shared" si="3"/>
        <v>0.9999999999999998</v>
      </c>
      <c r="AJ6" s="3">
        <f t="shared" si="4"/>
        <v>0.9999999999999998</v>
      </c>
      <c r="AK6" s="3"/>
      <c r="AL6" s="3"/>
      <c r="AM6" s="61"/>
    </row>
    <row r="7" spans="4:39" ht="11.25">
      <c r="D7" s="4" t="s">
        <v>118</v>
      </c>
      <c r="E7" s="1">
        <f>S23</f>
        <v>0.9999999999798508</v>
      </c>
      <c r="F7" s="4" t="s">
        <v>117</v>
      </c>
      <c r="H7" s="1">
        <f>S4</f>
        <v>0.9999999999798499</v>
      </c>
      <c r="J7" s="4" t="s">
        <v>116</v>
      </c>
      <c r="P7" s="2" t="s">
        <v>113</v>
      </c>
      <c r="Q7" s="2" t="s">
        <v>115</v>
      </c>
      <c r="R7" s="95">
        <f>247.7-241.3</f>
        <v>6.399999999999977</v>
      </c>
      <c r="S7" s="13">
        <v>0.9999999999999998</v>
      </c>
      <c r="T7" s="42">
        <f t="shared" si="0"/>
        <v>6.3999999999999755</v>
      </c>
      <c r="Z7" s="13" t="s">
        <v>111</v>
      </c>
      <c r="AA7" s="3">
        <f>$J$12</f>
        <v>4.4408900096110855E-16</v>
      </c>
      <c r="AB7" s="3">
        <f>$K$15</f>
        <v>0.9999999999999996</v>
      </c>
      <c r="AC7" s="3">
        <f>$J$14</f>
        <v>0.9999999999857316</v>
      </c>
      <c r="AD7" s="3">
        <f>$I$14</f>
        <v>1.2048473330139586E-11</v>
      </c>
      <c r="AE7" s="3"/>
      <c r="AF7" s="61"/>
      <c r="AG7" s="65">
        <f t="shared" si="1"/>
        <v>1.99999999999778</v>
      </c>
      <c r="AH7" s="60">
        <f t="shared" si="2"/>
        <v>0.99999999999889</v>
      </c>
      <c r="AI7" s="3">
        <f t="shared" si="3"/>
        <v>0.99999999999889</v>
      </c>
      <c r="AJ7" s="3">
        <f t="shared" si="4"/>
        <v>0.99999999999889</v>
      </c>
      <c r="AK7" s="3"/>
      <c r="AL7" s="3"/>
      <c r="AM7" s="61"/>
    </row>
    <row r="8" spans="10:39" ht="11.25">
      <c r="J8" s="1">
        <f>S5</f>
        <v>0</v>
      </c>
      <c r="K8" s="1">
        <f>S6</f>
        <v>1</v>
      </c>
      <c r="P8" s="2" t="s">
        <v>113</v>
      </c>
      <c r="Q8" s="2" t="s">
        <v>112</v>
      </c>
      <c r="R8" s="95">
        <f>251.7-239.2</f>
        <v>12.5</v>
      </c>
      <c r="S8" s="13">
        <v>0.9999999999999998</v>
      </c>
      <c r="T8" s="42">
        <f t="shared" si="0"/>
        <v>12.499999999999996</v>
      </c>
      <c r="Z8" s="13" t="s">
        <v>110</v>
      </c>
      <c r="AA8" s="3">
        <f>$J$14</f>
        <v>0.9999999999857316</v>
      </c>
      <c r="AB8" s="3">
        <f>$I$15</f>
        <v>0.9999999999811813</v>
      </c>
      <c r="AC8" s="3">
        <f>$I$16</f>
        <v>-1.12125309035434E-11</v>
      </c>
      <c r="AD8" s="3">
        <f>$J$16</f>
        <v>0</v>
      </c>
      <c r="AE8" s="3"/>
      <c r="AF8" s="61"/>
      <c r="AG8" s="65">
        <f t="shared" si="1"/>
        <v>1.9999999999557003</v>
      </c>
      <c r="AH8" s="60">
        <f t="shared" si="2"/>
        <v>0.9999999999778502</v>
      </c>
      <c r="AI8" s="3">
        <f t="shared" si="3"/>
        <v>0.9999999999778502</v>
      </c>
      <c r="AJ8" s="3">
        <f t="shared" si="4"/>
        <v>0.9999999999778502</v>
      </c>
      <c r="AK8" s="3"/>
      <c r="AL8" s="3"/>
      <c r="AM8" s="61"/>
    </row>
    <row r="9" spans="6:39" ht="11.25">
      <c r="F9" s="1">
        <f>S25</f>
        <v>5.828673116280563E-16</v>
      </c>
      <c r="J9" s="4" t="s">
        <v>113</v>
      </c>
      <c r="K9" s="1">
        <f>S7</f>
        <v>0.9999999999999998</v>
      </c>
      <c r="L9" s="4" t="s">
        <v>115</v>
      </c>
      <c r="P9" s="2" t="s">
        <v>112</v>
      </c>
      <c r="Q9" s="2" t="s">
        <v>114</v>
      </c>
      <c r="R9" s="95">
        <v>61.1</v>
      </c>
      <c r="S9" s="13">
        <v>0.9999999999999993</v>
      </c>
      <c r="T9" s="42">
        <f t="shared" si="0"/>
        <v>61.09999999999996</v>
      </c>
      <c r="Z9" s="13" t="s">
        <v>109</v>
      </c>
      <c r="AA9" s="3">
        <f>$I$14</f>
        <v>1.2048473330139586E-11</v>
      </c>
      <c r="AB9" s="3">
        <f>$I$15</f>
        <v>0.9999999999811813</v>
      </c>
      <c r="AC9" s="3">
        <f>$H$16</f>
        <v>0</v>
      </c>
      <c r="AD9" s="3">
        <f>$G$15</f>
        <v>0.9999999999669134</v>
      </c>
      <c r="AE9" s="3"/>
      <c r="AF9" s="61"/>
      <c r="AG9" s="65">
        <f t="shared" si="1"/>
        <v>1.999999999960143</v>
      </c>
      <c r="AH9" s="60">
        <f t="shared" si="2"/>
        <v>0.9999999999800715</v>
      </c>
      <c r="AI9" s="3">
        <f t="shared" si="3"/>
        <v>0.9999999999800715</v>
      </c>
      <c r="AJ9" s="3">
        <f t="shared" si="4"/>
        <v>0.9999999999800715</v>
      </c>
      <c r="AK9" s="3"/>
      <c r="AL9" s="3"/>
      <c r="AM9" s="61"/>
    </row>
    <row r="10" spans="10:39" ht="11.25">
      <c r="J10" s="1">
        <f>S8</f>
        <v>0.9999999999999998</v>
      </c>
      <c r="K10" s="1">
        <f>S11</f>
        <v>0</v>
      </c>
      <c r="P10" s="2" t="s">
        <v>112</v>
      </c>
      <c r="Q10" s="2" t="s">
        <v>111</v>
      </c>
      <c r="R10" s="95">
        <f>294.1-251.7</f>
        <v>42.400000000000034</v>
      </c>
      <c r="S10" s="13">
        <v>4.4408900096110855E-16</v>
      </c>
      <c r="T10" s="42">
        <f t="shared" si="0"/>
        <v>1.8829373640751017E-14</v>
      </c>
      <c r="Z10" s="13" t="s">
        <v>105</v>
      </c>
      <c r="AA10" s="3">
        <f>$H$16</f>
        <v>0</v>
      </c>
      <c r="AB10" s="3">
        <f>$I$16</f>
        <v>-1.12125309035434E-11</v>
      </c>
      <c r="AC10" s="3">
        <f>$I$17</f>
        <v>0.9999999999933388</v>
      </c>
      <c r="AD10" s="3">
        <f>$H$18</f>
        <v>0.9999999999999999</v>
      </c>
      <c r="AE10" s="3">
        <f>$G$17</f>
        <v>0</v>
      </c>
      <c r="AF10" s="61">
        <f>$G$19</f>
        <v>1.3432810419544694E-11</v>
      </c>
      <c r="AG10" s="65">
        <f t="shared" si="1"/>
        <v>1.999999999995559</v>
      </c>
      <c r="AH10" s="60">
        <f t="shared" si="2"/>
        <v>0.9999999999977796</v>
      </c>
      <c r="AI10" s="3">
        <f t="shared" si="3"/>
        <v>0.9999999999977796</v>
      </c>
      <c r="AJ10" s="3">
        <f t="shared" si="4"/>
        <v>0.9999999999977796</v>
      </c>
      <c r="AK10" s="3"/>
      <c r="AL10" s="3"/>
      <c r="AM10" s="61"/>
    </row>
    <row r="11" spans="4:39" ht="11.25">
      <c r="D11" s="9">
        <f>S24</f>
        <v>4.029998557086856E-11</v>
      </c>
      <c r="F11" s="4" t="s">
        <v>114</v>
      </c>
      <c r="H11" s="1">
        <f>S9</f>
        <v>0.9999999999999993</v>
      </c>
      <c r="J11" s="4" t="s">
        <v>112</v>
      </c>
      <c r="P11" s="2" t="s">
        <v>112</v>
      </c>
      <c r="Q11" s="2" t="s">
        <v>115</v>
      </c>
      <c r="R11" s="95">
        <f>500-487.5</f>
        <v>12.5</v>
      </c>
      <c r="S11" s="13">
        <v>0</v>
      </c>
      <c r="T11" s="42">
        <f t="shared" si="0"/>
        <v>0</v>
      </c>
      <c r="Z11" s="13" t="s">
        <v>147</v>
      </c>
      <c r="AA11" s="3">
        <f>$J$16</f>
        <v>0</v>
      </c>
      <c r="AB11" s="3">
        <f>$K$15</f>
        <v>0.9999999999999996</v>
      </c>
      <c r="AC11" s="3">
        <f>$I$17</f>
        <v>0.9999999999933388</v>
      </c>
      <c r="AD11" s="3"/>
      <c r="AE11" s="3"/>
      <c r="AF11" s="61"/>
      <c r="AG11" s="65">
        <f t="shared" si="1"/>
        <v>1.9999999999933382</v>
      </c>
      <c r="AH11" s="60">
        <f t="shared" si="2"/>
        <v>0.9999999999966691</v>
      </c>
      <c r="AI11" s="3">
        <f t="shared" si="3"/>
        <v>0.9999999999966691</v>
      </c>
      <c r="AJ11" s="3">
        <f t="shared" si="4"/>
        <v>0.9999999999966691</v>
      </c>
      <c r="AK11" s="3"/>
      <c r="AL11" s="3"/>
      <c r="AM11" s="61"/>
    </row>
    <row r="12" spans="10:39" ht="11.25">
      <c r="J12" s="9">
        <f>S10</f>
        <v>4.4408900096110855E-16</v>
      </c>
      <c r="P12" s="2" t="s">
        <v>111</v>
      </c>
      <c r="Q12" s="2" t="s">
        <v>147</v>
      </c>
      <c r="R12" s="95">
        <f>62+72.8</f>
        <v>134.8</v>
      </c>
      <c r="S12" s="13">
        <v>0.9999999999999996</v>
      </c>
      <c r="T12" s="42">
        <f t="shared" si="0"/>
        <v>134.79999999999995</v>
      </c>
      <c r="Z12" s="13" t="s">
        <v>104</v>
      </c>
      <c r="AA12" s="3">
        <f>$H$20</f>
        <v>0</v>
      </c>
      <c r="AB12" s="3">
        <f>$I$20</f>
        <v>1</v>
      </c>
      <c r="AC12" s="3">
        <f>$H$18</f>
        <v>0.9999999999999999</v>
      </c>
      <c r="AD12" s="3"/>
      <c r="AE12" s="3"/>
      <c r="AF12" s="61"/>
      <c r="AG12" s="65">
        <f t="shared" si="1"/>
        <v>2</v>
      </c>
      <c r="AH12" s="60">
        <f t="shared" si="2"/>
        <v>1</v>
      </c>
      <c r="AI12" s="3">
        <f t="shared" si="3"/>
        <v>1</v>
      </c>
      <c r="AJ12" s="3">
        <f t="shared" si="4"/>
        <v>1</v>
      </c>
      <c r="AK12" s="3"/>
      <c r="AL12" s="3"/>
      <c r="AM12" s="61"/>
    </row>
    <row r="13" spans="6:39" ht="11.25">
      <c r="F13" s="9">
        <f>S26</f>
        <v>0.9999999999999992</v>
      </c>
      <c r="J13" s="4" t="s">
        <v>111</v>
      </c>
      <c r="L13" s="3"/>
      <c r="P13" s="2" t="s">
        <v>111</v>
      </c>
      <c r="Q13" s="2" t="s">
        <v>110</v>
      </c>
      <c r="R13" s="95">
        <f>344.2-294.1</f>
        <v>50.099999999999966</v>
      </c>
      <c r="S13" s="13">
        <v>0.9999999999857316</v>
      </c>
      <c r="T13" s="42">
        <f t="shared" si="0"/>
        <v>50.099999999285124</v>
      </c>
      <c r="Z13" s="13" t="s">
        <v>101</v>
      </c>
      <c r="AA13" s="3">
        <f>$H$20</f>
        <v>0</v>
      </c>
      <c r="AB13" s="3">
        <f>$G$21</f>
        <v>0.9999999999776841</v>
      </c>
      <c r="AC13" s="3">
        <f>$H$22</f>
        <v>1</v>
      </c>
      <c r="AD13" s="3">
        <f>$G$19</f>
        <v>1.3432810419544694E-11</v>
      </c>
      <c r="AE13" s="3"/>
      <c r="AF13" s="61"/>
      <c r="AG13" s="65">
        <f t="shared" si="1"/>
        <v>1.9999999999911169</v>
      </c>
      <c r="AH13" s="60">
        <f t="shared" si="2"/>
        <v>0.9999999999955584</v>
      </c>
      <c r="AI13" s="3">
        <f t="shared" si="3"/>
        <v>0.9999999999955584</v>
      </c>
      <c r="AJ13" s="3">
        <f t="shared" si="4"/>
        <v>0.9999999999955584</v>
      </c>
      <c r="AK13" s="3"/>
      <c r="AL13" s="3"/>
      <c r="AM13" s="61"/>
    </row>
    <row r="14" spans="9:39" ht="11.25">
      <c r="I14" s="1">
        <f>S14</f>
        <v>1.2048473330139586E-11</v>
      </c>
      <c r="J14" s="1">
        <f>S13</f>
        <v>0.9999999999857316</v>
      </c>
      <c r="P14" s="2" t="s">
        <v>111</v>
      </c>
      <c r="Q14" s="2" t="s">
        <v>109</v>
      </c>
      <c r="R14" s="95">
        <f>445.1-395</f>
        <v>50.10000000000002</v>
      </c>
      <c r="S14" s="13">
        <v>1.2048473330139586E-11</v>
      </c>
      <c r="T14" s="42">
        <f t="shared" si="0"/>
        <v>6.036285138399936E-10</v>
      </c>
      <c r="Z14" s="13" t="s">
        <v>118</v>
      </c>
      <c r="AA14" s="3">
        <f>F4</f>
        <v>0.9999999999798501</v>
      </c>
      <c r="AB14" s="3">
        <f>$E$7</f>
        <v>0.9999999999798508</v>
      </c>
      <c r="AC14" s="3">
        <f>$D$11</f>
        <v>4.029998557086856E-11</v>
      </c>
      <c r="AD14" s="3"/>
      <c r="AE14" s="3"/>
      <c r="AF14" s="61"/>
      <c r="AG14" s="65">
        <f t="shared" si="1"/>
        <v>2.000000000000001</v>
      </c>
      <c r="AH14" s="60">
        <f t="shared" si="2"/>
        <v>1.0000000000000004</v>
      </c>
      <c r="AI14" s="3">
        <f t="shared" si="3"/>
        <v>1.0000000000000004</v>
      </c>
      <c r="AJ14" s="3">
        <f t="shared" si="4"/>
        <v>1.0000000000000004</v>
      </c>
      <c r="AK14" s="3"/>
      <c r="AL14" s="3"/>
      <c r="AM14" s="61"/>
    </row>
    <row r="15" spans="4:39" ht="11.25">
      <c r="D15" s="4" t="s">
        <v>108</v>
      </c>
      <c r="E15" s="1">
        <f>S28</f>
        <v>1.1911481600120293E-21</v>
      </c>
      <c r="F15" s="4" t="s">
        <v>107</v>
      </c>
      <c r="G15" s="1">
        <f>S27</f>
        <v>0.9999999999669134</v>
      </c>
      <c r="H15" s="4" t="s">
        <v>109</v>
      </c>
      <c r="I15" s="1">
        <f>S15</f>
        <v>0.9999999999811813</v>
      </c>
      <c r="J15" s="4" t="s">
        <v>110</v>
      </c>
      <c r="K15" s="1">
        <f>S12</f>
        <v>0.9999999999999996</v>
      </c>
      <c r="P15" s="2" t="s">
        <v>110</v>
      </c>
      <c r="Q15" s="2" t="s">
        <v>109</v>
      </c>
      <c r="R15" s="95">
        <v>9.4</v>
      </c>
      <c r="S15" s="13">
        <v>0.9999999999811813</v>
      </c>
      <c r="T15" s="42">
        <f t="shared" si="0"/>
        <v>9.399999999823104</v>
      </c>
      <c r="Z15" s="13" t="s">
        <v>117</v>
      </c>
      <c r="AA15" s="3">
        <f>$E$7</f>
        <v>0.9999999999798508</v>
      </c>
      <c r="AB15" s="3">
        <f>$H$7</f>
        <v>0.9999999999798499</v>
      </c>
      <c r="AC15" s="3">
        <f>$F$9</f>
        <v>5.828673116280563E-16</v>
      </c>
      <c r="AD15" s="3"/>
      <c r="AE15" s="3"/>
      <c r="AF15" s="61"/>
      <c r="AG15" s="65">
        <f t="shared" si="1"/>
        <v>1.9999999999597013</v>
      </c>
      <c r="AH15" s="60">
        <f t="shared" si="2"/>
        <v>0.9999999999798507</v>
      </c>
      <c r="AI15" s="3">
        <f t="shared" si="3"/>
        <v>0.9999999999798507</v>
      </c>
      <c r="AJ15" s="3">
        <f t="shared" si="4"/>
        <v>0.9999999999798507</v>
      </c>
      <c r="AK15" s="3"/>
      <c r="AL15" s="3"/>
      <c r="AM15" s="61"/>
    </row>
    <row r="16" spans="6:39" ht="11.25">
      <c r="F16" s="1">
        <f>S29</f>
        <v>4.22084589501992E-12</v>
      </c>
      <c r="H16" s="1">
        <f>S21</f>
        <v>0</v>
      </c>
      <c r="I16" s="1">
        <f>S17</f>
        <v>-1.12125309035434E-11</v>
      </c>
      <c r="J16" s="1">
        <f>S16</f>
        <v>0</v>
      </c>
      <c r="P16" s="2" t="s">
        <v>110</v>
      </c>
      <c r="Q16" s="2" t="s">
        <v>147</v>
      </c>
      <c r="R16" s="95">
        <v>12.8</v>
      </c>
      <c r="S16" s="13">
        <v>0</v>
      </c>
      <c r="T16" s="42">
        <f t="shared" si="0"/>
        <v>0</v>
      </c>
      <c r="Z16" s="13" t="s">
        <v>114</v>
      </c>
      <c r="AA16" s="3">
        <f>$F$9</f>
        <v>5.828673116280563E-16</v>
      </c>
      <c r="AB16" s="3">
        <f>$H$11</f>
        <v>0.9999999999999993</v>
      </c>
      <c r="AC16" s="3">
        <f>$F$13</f>
        <v>0.9999999999999992</v>
      </c>
      <c r="AD16" s="3"/>
      <c r="AE16" s="3"/>
      <c r="AF16" s="61"/>
      <c r="AG16" s="65">
        <f t="shared" si="1"/>
        <v>1.9999999999999991</v>
      </c>
      <c r="AH16" s="60">
        <f t="shared" si="2"/>
        <v>0.9999999999999996</v>
      </c>
      <c r="AI16" s="3">
        <f t="shared" si="3"/>
        <v>0.9999999999999996</v>
      </c>
      <c r="AJ16" s="3">
        <f t="shared" si="4"/>
        <v>0.9999999999999996</v>
      </c>
      <c r="AK16" s="3"/>
      <c r="AL16" s="3"/>
      <c r="AM16" s="61"/>
    </row>
    <row r="17" spans="6:39" ht="11.25">
      <c r="F17" s="4" t="s">
        <v>103</v>
      </c>
      <c r="G17" s="1">
        <f>S18</f>
        <v>0</v>
      </c>
      <c r="H17" s="4" t="s">
        <v>105</v>
      </c>
      <c r="I17" s="1">
        <f>S19</f>
        <v>0.9999999999933388</v>
      </c>
      <c r="J17" s="4" t="s">
        <v>147</v>
      </c>
      <c r="P17" s="2" t="s">
        <v>110</v>
      </c>
      <c r="Q17" s="2" t="s">
        <v>105</v>
      </c>
      <c r="R17" s="95">
        <f>387.4-344.2</f>
        <v>43.19999999999999</v>
      </c>
      <c r="S17" s="13">
        <v>-1.12125309035434E-11</v>
      </c>
      <c r="T17" s="42">
        <f t="shared" si="0"/>
        <v>-4.843813350330747E-10</v>
      </c>
      <c r="Z17" s="13" t="s">
        <v>107</v>
      </c>
      <c r="AA17" s="3">
        <f>$F$13</f>
        <v>0.9999999999999992</v>
      </c>
      <c r="AB17" s="3">
        <f>$E$15</f>
        <v>1.1911481600120293E-21</v>
      </c>
      <c r="AC17" s="3">
        <f>$G$15</f>
        <v>0.9999999999669134</v>
      </c>
      <c r="AD17" s="3">
        <f>$F$16</f>
        <v>4.22084589501992E-12</v>
      </c>
      <c r="AE17" s="3"/>
      <c r="AF17" s="61"/>
      <c r="AG17" s="65">
        <f t="shared" si="1"/>
        <v>1.9999999999711335</v>
      </c>
      <c r="AH17" s="60">
        <f t="shared" si="2"/>
        <v>0.9999999999855668</v>
      </c>
      <c r="AI17" s="3">
        <f t="shared" si="3"/>
        <v>0.9999999999855668</v>
      </c>
      <c r="AJ17" s="3">
        <f t="shared" si="4"/>
        <v>0.9999999999855668</v>
      </c>
      <c r="AK17" s="3"/>
      <c r="AL17" s="3"/>
      <c r="AM17" s="61"/>
    </row>
    <row r="18" spans="4:39" ht="11.25">
      <c r="D18" s="1">
        <f>S32</f>
        <v>4.029998557086856E-11</v>
      </c>
      <c r="H18" s="1">
        <f>S20</f>
        <v>0.9999999999999999</v>
      </c>
      <c r="P18" s="2" t="s">
        <v>105</v>
      </c>
      <c r="Q18" s="2" t="s">
        <v>103</v>
      </c>
      <c r="R18" s="95">
        <v>58</v>
      </c>
      <c r="S18" s="13">
        <v>0</v>
      </c>
      <c r="T18" s="42">
        <f t="shared" si="0"/>
        <v>0</v>
      </c>
      <c r="Z18" s="13" t="s">
        <v>108</v>
      </c>
      <c r="AA18" s="3">
        <f>$E$15</f>
        <v>1.1911481600120293E-21</v>
      </c>
      <c r="AB18" s="3">
        <f>$D$11</f>
        <v>4.029998557086856E-11</v>
      </c>
      <c r="AC18" s="3">
        <f>$D$18</f>
        <v>4.029998557086856E-11</v>
      </c>
      <c r="AD18" s="3"/>
      <c r="AE18" s="3"/>
      <c r="AF18" s="61"/>
      <c r="AG18" s="65">
        <f t="shared" si="1"/>
        <v>8.059997114292825E-11</v>
      </c>
      <c r="AH18" s="60">
        <f t="shared" si="2"/>
        <v>4.029998557146413E-11</v>
      </c>
      <c r="AI18" s="3">
        <f t="shared" si="3"/>
        <v>4.029998557146413E-11</v>
      </c>
      <c r="AJ18" s="3">
        <f t="shared" si="4"/>
        <v>4.029998557146413E-11</v>
      </c>
      <c r="AK18" s="3"/>
      <c r="AL18" s="3"/>
      <c r="AM18" s="61"/>
    </row>
    <row r="19" spans="6:39" ht="11.25">
      <c r="F19" s="1">
        <f>S30</f>
        <v>0</v>
      </c>
      <c r="G19" s="1">
        <f>S22</f>
        <v>1.3432810419544694E-11</v>
      </c>
      <c r="H19" s="4" t="s">
        <v>104</v>
      </c>
      <c r="P19" s="2" t="s">
        <v>105</v>
      </c>
      <c r="Q19" s="2" t="s">
        <v>147</v>
      </c>
      <c r="R19" s="95">
        <f>49.7+27.9-12.8</f>
        <v>64.8</v>
      </c>
      <c r="S19" s="13">
        <v>0.9999999999933388</v>
      </c>
      <c r="T19" s="42">
        <f t="shared" si="0"/>
        <v>64.79999999956836</v>
      </c>
      <c r="Z19" s="13" t="s">
        <v>103</v>
      </c>
      <c r="AA19" s="3">
        <f>$F$16</f>
        <v>4.22084589501992E-12</v>
      </c>
      <c r="AB19" s="3">
        <f>$G$17</f>
        <v>0</v>
      </c>
      <c r="AC19" s="3">
        <f>$F$19</f>
        <v>0</v>
      </c>
      <c r="AD19" s="3"/>
      <c r="AE19" s="3"/>
      <c r="AF19" s="61"/>
      <c r="AG19" s="65">
        <f t="shared" si="1"/>
        <v>4.22084589501992E-12</v>
      </c>
      <c r="AH19" s="60">
        <f t="shared" si="2"/>
        <v>2.11042294750996E-12</v>
      </c>
      <c r="AI19" s="3">
        <f t="shared" si="3"/>
        <v>2.11042294750996E-12</v>
      </c>
      <c r="AJ19" s="3">
        <f t="shared" si="4"/>
        <v>2.11042294750996E-12</v>
      </c>
      <c r="AK19" s="3"/>
      <c r="AL19" s="3"/>
      <c r="AM19" s="61"/>
    </row>
    <row r="20" spans="8:39" ht="11.25">
      <c r="H20" s="1">
        <f>S33</f>
        <v>0</v>
      </c>
      <c r="I20" s="7">
        <f>S36</f>
        <v>1</v>
      </c>
      <c r="P20" s="2" t="s">
        <v>105</v>
      </c>
      <c r="Q20" s="2" t="s">
        <v>104</v>
      </c>
      <c r="R20" s="95">
        <f>405-387.4</f>
        <v>17.600000000000023</v>
      </c>
      <c r="S20" s="13">
        <v>0.9999999999999999</v>
      </c>
      <c r="T20" s="42">
        <f t="shared" si="0"/>
        <v>17.60000000000002</v>
      </c>
      <c r="Z20" s="13" t="s">
        <v>106</v>
      </c>
      <c r="AA20" s="3">
        <f>$D$18</f>
        <v>4.029998557086856E-11</v>
      </c>
      <c r="AB20" s="3">
        <f>$E$21</f>
        <v>0.9999999999597007</v>
      </c>
      <c r="AC20" s="3">
        <f>$C$21</f>
        <v>1</v>
      </c>
      <c r="AD20" s="3"/>
      <c r="AE20" s="3"/>
      <c r="AF20" s="61"/>
      <c r="AG20" s="65">
        <f t="shared" si="1"/>
        <v>2.000000000000001</v>
      </c>
      <c r="AH20" s="60">
        <f t="shared" si="2"/>
        <v>1.0000000000000004</v>
      </c>
      <c r="AI20" s="3">
        <f t="shared" si="3"/>
        <v>1.0000000000000004</v>
      </c>
      <c r="AJ20" s="3">
        <f t="shared" si="4"/>
        <v>1.0000000000000004</v>
      </c>
      <c r="AK20" s="3"/>
      <c r="AL20" s="3"/>
      <c r="AM20" s="61"/>
    </row>
    <row r="21" spans="2:39" ht="11.25">
      <c r="B21" s="4" t="s">
        <v>139</v>
      </c>
      <c r="C21" s="7">
        <f>S35</f>
        <v>1</v>
      </c>
      <c r="D21" s="4" t="s">
        <v>106</v>
      </c>
      <c r="E21" s="1">
        <f>S31</f>
        <v>0.9999999999597007</v>
      </c>
      <c r="F21" s="4" t="s">
        <v>102</v>
      </c>
      <c r="G21" s="1">
        <f>S34</f>
        <v>0.9999999999776841</v>
      </c>
      <c r="H21" s="4" t="s">
        <v>101</v>
      </c>
      <c r="J21" s="4" t="s">
        <v>123</v>
      </c>
      <c r="P21" s="2" t="s">
        <v>105</v>
      </c>
      <c r="Q21" s="2" t="s">
        <v>109</v>
      </c>
      <c r="R21" s="95">
        <f>395-351.8</f>
        <v>43.19999999999999</v>
      </c>
      <c r="S21" s="13">
        <v>0</v>
      </c>
      <c r="T21" s="42">
        <f t="shared" si="0"/>
        <v>0</v>
      </c>
      <c r="Z21" s="13" t="s">
        <v>102</v>
      </c>
      <c r="AA21" s="12">
        <f>$E$21</f>
        <v>0.9999999999597007</v>
      </c>
      <c r="AB21" s="12">
        <f>$F$19</f>
        <v>0</v>
      </c>
      <c r="AC21" s="12">
        <f>$G$21</f>
        <v>0.9999999999776841</v>
      </c>
      <c r="AD21" s="12"/>
      <c r="AE21" s="12"/>
      <c r="AF21" s="62"/>
      <c r="AG21" s="46">
        <f t="shared" si="1"/>
        <v>1.9999999999373848</v>
      </c>
      <c r="AH21" s="11">
        <f t="shared" si="2"/>
        <v>0.9999999999686924</v>
      </c>
      <c r="AI21" s="12">
        <f t="shared" si="3"/>
        <v>0.9999999999686924</v>
      </c>
      <c r="AJ21" s="12">
        <f t="shared" si="4"/>
        <v>0.9999999999686924</v>
      </c>
      <c r="AK21" s="12"/>
      <c r="AL21" s="12"/>
      <c r="AM21" s="62"/>
    </row>
    <row r="22" spans="8:20" ht="11.25">
      <c r="H22" s="7">
        <f>S37</f>
        <v>1</v>
      </c>
      <c r="P22" s="2" t="s">
        <v>105</v>
      </c>
      <c r="Q22" s="2" t="s">
        <v>101</v>
      </c>
      <c r="R22" s="95">
        <f>351.8-272.8</f>
        <v>79</v>
      </c>
      <c r="S22" s="13">
        <v>1.3432810419544694E-11</v>
      </c>
      <c r="T22" s="42">
        <f t="shared" si="0"/>
        <v>1.0611920231440308E-09</v>
      </c>
    </row>
    <row r="23" spans="8:20" ht="11.25">
      <c r="H23" s="4" t="s">
        <v>99</v>
      </c>
      <c r="P23" s="2" t="s">
        <v>118</v>
      </c>
      <c r="Q23" s="2" t="s">
        <v>117</v>
      </c>
      <c r="R23" s="95">
        <f>127.3-75.6</f>
        <v>51.7</v>
      </c>
      <c r="S23" s="13">
        <v>0.9999999999798508</v>
      </c>
      <c r="T23" s="42">
        <f t="shared" si="0"/>
        <v>51.69999999895829</v>
      </c>
    </row>
    <row r="24" spans="12:20" ht="11.25">
      <c r="L24" s="9"/>
      <c r="P24" s="2" t="s">
        <v>118</v>
      </c>
      <c r="Q24" s="2" t="s">
        <v>108</v>
      </c>
      <c r="R24" s="95">
        <v>117</v>
      </c>
      <c r="S24" s="13">
        <v>4.029998557086856E-11</v>
      </c>
      <c r="T24" s="42">
        <f t="shared" si="0"/>
        <v>4.715098311791621E-09</v>
      </c>
    </row>
    <row r="25" spans="4:20" ht="11.25">
      <c r="D25" s="18" t="s">
        <v>202</v>
      </c>
      <c r="P25" s="2" t="s">
        <v>117</v>
      </c>
      <c r="Q25" s="2" t="s">
        <v>114</v>
      </c>
      <c r="R25" s="95">
        <f>70.4-51.7</f>
        <v>18.700000000000003</v>
      </c>
      <c r="S25" s="13">
        <v>5.828673116280563E-16</v>
      </c>
      <c r="T25" s="42">
        <f t="shared" si="0"/>
        <v>1.0899618727444654E-14</v>
      </c>
    </row>
    <row r="26" spans="4:20" ht="11.25" customHeight="1">
      <c r="D26" s="136" t="s">
        <v>172</v>
      </c>
      <c r="E26" s="137"/>
      <c r="F26" s="87" t="s">
        <v>193</v>
      </c>
      <c r="G26" s="68" t="s">
        <v>194</v>
      </c>
      <c r="H26" s="19"/>
      <c r="P26" s="2" t="s">
        <v>114</v>
      </c>
      <c r="Q26" s="2" t="s">
        <v>107</v>
      </c>
      <c r="R26" s="95">
        <f>150.1-70.4</f>
        <v>79.69999999999999</v>
      </c>
      <c r="S26" s="13">
        <v>0.9999999999999992</v>
      </c>
      <c r="T26" s="42">
        <f t="shared" si="0"/>
        <v>79.69999999999993</v>
      </c>
    </row>
    <row r="27" spans="4:20" ht="11.25">
      <c r="D27" s="43" t="s">
        <v>161</v>
      </c>
      <c r="E27" s="44"/>
      <c r="F27" s="87">
        <v>2</v>
      </c>
      <c r="G27" s="126">
        <f>E7+I5+J12+F13</f>
        <v>2</v>
      </c>
      <c r="P27" s="2" t="s">
        <v>107</v>
      </c>
      <c r="Q27" s="2" t="s">
        <v>109</v>
      </c>
      <c r="R27" s="95">
        <v>84.7</v>
      </c>
      <c r="S27" s="13">
        <v>0.9999999999669134</v>
      </c>
      <c r="T27" s="42">
        <f t="shared" si="0"/>
        <v>84.69999999719757</v>
      </c>
    </row>
    <row r="28" spans="4:20" ht="11.25">
      <c r="D28" s="11"/>
      <c r="E28" s="62"/>
      <c r="F28" s="89">
        <v>2</v>
      </c>
      <c r="G28" s="127">
        <f>I5+E7+E15+F16+H16+I16+I17</f>
        <v>1.9999999999863474</v>
      </c>
      <c r="P28" s="2" t="s">
        <v>107</v>
      </c>
      <c r="Q28" s="2" t="s">
        <v>108</v>
      </c>
      <c r="R28" s="95">
        <v>43</v>
      </c>
      <c r="S28" s="13">
        <v>1.1911481600120293E-21</v>
      </c>
      <c r="T28" s="42">
        <f t="shared" si="0"/>
        <v>5.121937088051726E-20</v>
      </c>
    </row>
    <row r="29" spans="4:20" ht="11.25">
      <c r="D29" s="43" t="s">
        <v>156</v>
      </c>
      <c r="E29" s="44"/>
      <c r="F29" s="87">
        <v>2</v>
      </c>
      <c r="G29" s="126">
        <f>I5+E7+F13+J12</f>
        <v>2</v>
      </c>
      <c r="P29" s="2" t="s">
        <v>107</v>
      </c>
      <c r="Q29" s="2" t="s">
        <v>103</v>
      </c>
      <c r="R29" s="95">
        <f>206.8-150.1</f>
        <v>56.70000000000002</v>
      </c>
      <c r="S29" s="13">
        <v>4.22084589501992E-12</v>
      </c>
      <c r="T29" s="42">
        <f t="shared" si="0"/>
        <v>2.3932196224762953E-10</v>
      </c>
    </row>
    <row r="30" spans="4:20" ht="11.25">
      <c r="D30" s="77"/>
      <c r="E30" s="78"/>
      <c r="F30" s="88">
        <v>2</v>
      </c>
      <c r="G30" s="124">
        <f>I5+E7+E15+F16+H16+I16+I17</f>
        <v>1.9999999999863474</v>
      </c>
      <c r="P30" s="2" t="s">
        <v>103</v>
      </c>
      <c r="Q30" s="2" t="s">
        <v>102</v>
      </c>
      <c r="R30" s="95">
        <f>258.6-206.8</f>
        <v>51.80000000000001</v>
      </c>
      <c r="S30" s="13">
        <v>0</v>
      </c>
      <c r="T30" s="42">
        <f t="shared" si="0"/>
        <v>0</v>
      </c>
    </row>
    <row r="31" spans="4:20" ht="11.25">
      <c r="D31" s="60"/>
      <c r="E31" s="61"/>
      <c r="F31" s="88">
        <v>2</v>
      </c>
      <c r="G31" s="124">
        <f>J12+F13+E15+E21</f>
        <v>1.9999999999597002</v>
      </c>
      <c r="P31" s="2" t="s">
        <v>102</v>
      </c>
      <c r="Q31" s="2" t="s">
        <v>106</v>
      </c>
      <c r="R31" s="95">
        <v>90.7</v>
      </c>
      <c r="S31" s="13">
        <v>0.9999999999597007</v>
      </c>
      <c r="T31" s="42">
        <f t="shared" si="0"/>
        <v>90.69999999634486</v>
      </c>
    </row>
    <row r="32" spans="4:20" ht="11.25">
      <c r="D32" s="60"/>
      <c r="E32" s="61"/>
      <c r="F32" s="88">
        <v>2</v>
      </c>
      <c r="G32" s="124">
        <f>E21+E15+E7+I5</f>
        <v>1.9999999999597011</v>
      </c>
      <c r="P32" s="2" t="s">
        <v>108</v>
      </c>
      <c r="Q32" s="2" t="s">
        <v>106</v>
      </c>
      <c r="R32" s="95">
        <f>223.7-117</f>
        <v>106.69999999999999</v>
      </c>
      <c r="S32" s="13">
        <v>4.029998557086856E-11</v>
      </c>
      <c r="T32" s="42">
        <f t="shared" si="0"/>
        <v>4.300008460411674E-09</v>
      </c>
    </row>
    <row r="33" spans="4:20" ht="11.25">
      <c r="D33" s="60"/>
      <c r="E33" s="61"/>
      <c r="F33" s="88">
        <v>2</v>
      </c>
      <c r="G33" s="124">
        <f>E21+F16+H16+I16+I17</f>
        <v>1.9999999999460476</v>
      </c>
      <c r="P33" s="2" t="s">
        <v>104</v>
      </c>
      <c r="Q33" s="2" t="s">
        <v>101</v>
      </c>
      <c r="R33" s="95">
        <f>466.4-405</f>
        <v>61.39999999999998</v>
      </c>
      <c r="S33" s="13">
        <v>0</v>
      </c>
      <c r="T33" s="42">
        <f t="shared" si="0"/>
        <v>0</v>
      </c>
    </row>
    <row r="34" spans="4:20" ht="12" thickBot="1">
      <c r="D34" s="11"/>
      <c r="E34" s="62"/>
      <c r="F34" s="89">
        <v>2</v>
      </c>
      <c r="G34" s="127">
        <f>J12+G15+H16+I16+I17</f>
        <v>1.9999999999490399</v>
      </c>
      <c r="P34" s="45" t="s">
        <v>101</v>
      </c>
      <c r="Q34" s="45" t="s">
        <v>102</v>
      </c>
      <c r="R34" s="96">
        <f>312.9-272.8</f>
        <v>40.099999999999966</v>
      </c>
      <c r="S34" s="91">
        <v>0.9999999999776841</v>
      </c>
      <c r="T34" s="75">
        <f>R34*S34</f>
        <v>40.099999999105094</v>
      </c>
    </row>
    <row r="35" spans="4:20" ht="11.25">
      <c r="D35" s="43" t="s">
        <v>158</v>
      </c>
      <c r="E35" s="44"/>
      <c r="F35" s="87">
        <v>2</v>
      </c>
      <c r="G35" s="126">
        <f>I5+E7+F13+J12</f>
        <v>2</v>
      </c>
      <c r="P35" s="49" t="s">
        <v>106</v>
      </c>
      <c r="Q35" s="50" t="s">
        <v>139</v>
      </c>
      <c r="R35" s="97">
        <f>245.7-223.7</f>
        <v>22</v>
      </c>
      <c r="S35" s="73">
        <v>1</v>
      </c>
      <c r="T35" s="51">
        <f>R35*S35</f>
        <v>22</v>
      </c>
    </row>
    <row r="36" spans="4:20" ht="11.25">
      <c r="D36" s="11"/>
      <c r="E36" s="62"/>
      <c r="F36" s="89">
        <v>2</v>
      </c>
      <c r="G36" s="127">
        <f>I5+E7+E15+F16+H16+I16+I17</f>
        <v>1.9999999999863474</v>
      </c>
      <c r="P36" s="52" t="s">
        <v>104</v>
      </c>
      <c r="Q36" s="2" t="s">
        <v>123</v>
      </c>
      <c r="R36" s="95">
        <f>348.9-215.2</f>
        <v>133.7</v>
      </c>
      <c r="S36" s="5">
        <v>1</v>
      </c>
      <c r="T36" s="53">
        <f>R36*S36</f>
        <v>133.7</v>
      </c>
    </row>
    <row r="37" spans="3:20" ht="12" thickBot="1">
      <c r="C37" s="43" t="s">
        <v>192</v>
      </c>
      <c r="D37" s="44"/>
      <c r="E37" s="108" t="s">
        <v>210</v>
      </c>
      <c r="F37" s="105">
        <v>2</v>
      </c>
      <c r="G37" s="131">
        <f>I5+E7+F13+J12</f>
        <v>2</v>
      </c>
      <c r="P37" s="54" t="s">
        <v>101</v>
      </c>
      <c r="Q37" s="55" t="s">
        <v>99</v>
      </c>
      <c r="R37" s="98">
        <f>512.5-466.4</f>
        <v>46.10000000000002</v>
      </c>
      <c r="S37" s="74">
        <v>1</v>
      </c>
      <c r="T37" s="56">
        <f>R37*S37</f>
        <v>46.10000000000002</v>
      </c>
    </row>
    <row r="38" spans="3:7" ht="11.25">
      <c r="C38" s="60"/>
      <c r="D38" s="61"/>
      <c r="E38" s="111" t="s">
        <v>211</v>
      </c>
      <c r="F38" s="60">
        <v>1</v>
      </c>
      <c r="G38" s="124">
        <f>G21+G19+H18</f>
        <v>1.9999999999911169</v>
      </c>
    </row>
    <row r="39" spans="3:20" ht="11.25">
      <c r="C39" s="60"/>
      <c r="D39" s="61"/>
      <c r="E39" s="65"/>
      <c r="F39" s="60">
        <v>1</v>
      </c>
      <c r="G39" s="124">
        <f>E21+F16+H16+I16+I17</f>
        <v>1.9999999999460476</v>
      </c>
      <c r="S39" s="2" t="s">
        <v>154</v>
      </c>
      <c r="T39" s="42">
        <f>SUM(T2:T34)</f>
        <v>1255.4999999983395</v>
      </c>
    </row>
    <row r="40" spans="3:7" ht="11.25">
      <c r="C40" s="60"/>
      <c r="D40" s="61"/>
      <c r="E40" s="65"/>
      <c r="F40" s="60">
        <v>1</v>
      </c>
      <c r="G40" s="124">
        <f>E21+E15+F13+J12</f>
        <v>1.9999999999597002</v>
      </c>
    </row>
    <row r="41" spans="3:7" ht="11.25">
      <c r="C41" s="60"/>
      <c r="D41" s="61"/>
      <c r="E41" s="65"/>
      <c r="F41" s="60">
        <v>1</v>
      </c>
      <c r="G41" s="124">
        <f>E21+E15+E7+I5</f>
        <v>1.9999999999597011</v>
      </c>
    </row>
    <row r="42" spans="3:7" ht="11.25">
      <c r="C42" s="11"/>
      <c r="D42" s="62"/>
      <c r="E42" s="46"/>
      <c r="F42" s="11">
        <v>1</v>
      </c>
      <c r="G42" s="127">
        <f>G21+G17+H16+I17</f>
        <v>1.9999999999710227</v>
      </c>
    </row>
  </sheetData>
  <sheetProtection/>
  <mergeCells count="1">
    <mergeCell ref="D26:E26"/>
  </mergeCells>
  <printOptions/>
  <pageMargins left="0.787" right="0.787" top="0.984" bottom="0.984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87"/>
  <sheetViews>
    <sheetView zoomScalePageLayoutView="0" workbookViewId="0" topLeftCell="A1">
      <selection activeCell="R35" sqref="R35"/>
    </sheetView>
  </sheetViews>
  <sheetFormatPr defaultColWidth="9.00390625" defaultRowHeight="13.5"/>
  <cols>
    <col min="1" max="2" width="3.75390625" style="1" customWidth="1"/>
    <col min="3" max="8" width="3.625" style="1" customWidth="1"/>
    <col min="9" max="47" width="3.75390625" style="1" customWidth="1"/>
    <col min="48" max="48" width="7.00390625" style="10" customWidth="1"/>
    <col min="49" max="49" width="3.75390625" style="1" customWidth="1"/>
    <col min="50" max="50" width="7.00390625" style="10" customWidth="1"/>
    <col min="51" max="88" width="3.75390625" style="1" customWidth="1"/>
    <col min="89" max="16384" width="9.00390625" style="1" customWidth="1"/>
  </cols>
  <sheetData>
    <row r="1" spans="46:67" ht="12" thickBot="1">
      <c r="AT1" s="43" t="s">
        <v>185</v>
      </c>
      <c r="AU1" s="44"/>
      <c r="AV1" s="45" t="s">
        <v>186</v>
      </c>
      <c r="AW1" s="45" t="s">
        <v>187</v>
      </c>
      <c r="AX1" s="45" t="s">
        <v>188</v>
      </c>
      <c r="BD1" s="40" t="s">
        <v>189</v>
      </c>
      <c r="BE1" s="64"/>
      <c r="BF1" s="64"/>
      <c r="BG1" s="64"/>
      <c r="BH1" s="64"/>
      <c r="BI1" s="41"/>
      <c r="BJ1" s="2" t="s">
        <v>190</v>
      </c>
      <c r="BK1" s="40" t="s">
        <v>191</v>
      </c>
      <c r="BL1" s="64"/>
      <c r="BM1" s="64"/>
      <c r="BN1" s="64"/>
      <c r="BO1" s="41"/>
    </row>
    <row r="2" spans="46:67" ht="11.25">
      <c r="AT2" s="49" t="s">
        <v>27</v>
      </c>
      <c r="AU2" s="50" t="s">
        <v>10</v>
      </c>
      <c r="AV2" s="97">
        <v>3.3</v>
      </c>
      <c r="AW2" s="50">
        <v>0</v>
      </c>
      <c r="AX2" s="51">
        <f aca="true" t="shared" si="0" ref="AX2:AX10">AV2*AW2</f>
        <v>0</v>
      </c>
      <c r="BD2" s="8" t="s">
        <v>151</v>
      </c>
      <c r="BE2" s="57">
        <f>$AM$8</f>
        <v>0.9999999999945587</v>
      </c>
      <c r="BF2" s="58">
        <f>$AO$13</f>
        <v>1</v>
      </c>
      <c r="BG2" s="58">
        <f>$AM$15</f>
        <v>1.0016432128168162E-12</v>
      </c>
      <c r="BH2" s="58"/>
      <c r="BI2" s="59"/>
      <c r="BJ2" s="65">
        <f>SUM(BE2:BI2)</f>
        <v>1.9999999999955602</v>
      </c>
      <c r="BK2" s="60">
        <f>BJ2/2</f>
        <v>0.9999999999977801</v>
      </c>
      <c r="BL2" s="3">
        <f>BJ2/2</f>
        <v>0.9999999999977801</v>
      </c>
      <c r="BM2" s="3">
        <f>BJ2/2</f>
        <v>0.9999999999977801</v>
      </c>
      <c r="BN2" s="3"/>
      <c r="BO2" s="61"/>
    </row>
    <row r="3" spans="39:67" ht="11.25">
      <c r="AM3" s="4" t="s">
        <v>48</v>
      </c>
      <c r="AO3" s="7">
        <f>AW4</f>
        <v>0</v>
      </c>
      <c r="AQ3" s="4" t="s">
        <v>80</v>
      </c>
      <c r="AT3" s="52" t="s">
        <v>150</v>
      </c>
      <c r="AU3" s="2" t="s">
        <v>151</v>
      </c>
      <c r="AV3" s="95">
        <v>17.8</v>
      </c>
      <c r="AW3" s="2">
        <v>1</v>
      </c>
      <c r="AX3" s="53">
        <f t="shared" si="0"/>
        <v>17.8</v>
      </c>
      <c r="BD3" s="8" t="s">
        <v>48</v>
      </c>
      <c r="BE3" s="60">
        <f>AL6</f>
        <v>0.9999999999789054</v>
      </c>
      <c r="BF3" s="3">
        <f>AM8</f>
        <v>0.9999999999945587</v>
      </c>
      <c r="BG3" s="3">
        <f>AO3</f>
        <v>0</v>
      </c>
      <c r="BH3" s="3"/>
      <c r="BI3" s="61"/>
      <c r="BJ3" s="65">
        <f aca="true" t="shared" si="1" ref="BJ3:BJ13">SUM(BE3:BI3)</f>
        <v>1.9999999999734641</v>
      </c>
      <c r="BK3" s="60">
        <f aca="true" t="shared" si="2" ref="BK3:BK13">BJ3/2</f>
        <v>0.9999999999867321</v>
      </c>
      <c r="BL3" s="3">
        <f aca="true" t="shared" si="3" ref="BL3:BL13">BJ3/2</f>
        <v>0.9999999999867321</v>
      </c>
      <c r="BM3" s="3">
        <f aca="true" t="shared" si="4" ref="BM3:BM13">BJ3/2</f>
        <v>0.9999999999867321</v>
      </c>
      <c r="BN3" s="3"/>
      <c r="BO3" s="61"/>
    </row>
    <row r="4" spans="46:67" ht="12" thickBot="1">
      <c r="AT4" s="54" t="s">
        <v>48</v>
      </c>
      <c r="AU4" s="55" t="s">
        <v>80</v>
      </c>
      <c r="AV4" s="98">
        <v>79</v>
      </c>
      <c r="AW4" s="55">
        <v>0</v>
      </c>
      <c r="AX4" s="56">
        <f t="shared" si="0"/>
        <v>0</v>
      </c>
      <c r="BD4" s="8" t="s">
        <v>10</v>
      </c>
      <c r="BE4" s="60">
        <f>$AN$17</f>
        <v>0.9999999999923395</v>
      </c>
      <c r="BF4" s="3">
        <f>$AP$17</f>
        <v>0</v>
      </c>
      <c r="BG4" s="3">
        <f>$AO$18</f>
        <v>0.9999999999999997</v>
      </c>
      <c r="BH4" s="3">
        <f>AM18</f>
        <v>2.3314577120947403E-11</v>
      </c>
      <c r="BI4" s="61"/>
      <c r="BJ4" s="65">
        <f t="shared" si="1"/>
        <v>2.0000000000156537</v>
      </c>
      <c r="BK4" s="60">
        <f t="shared" si="2"/>
        <v>1.0000000000078269</v>
      </c>
      <c r="BL4" s="3">
        <f t="shared" si="3"/>
        <v>1.0000000000078269</v>
      </c>
      <c r="BM4" s="3">
        <f t="shared" si="4"/>
        <v>1.0000000000078269</v>
      </c>
      <c r="BN4" s="3"/>
      <c r="BO4" s="61"/>
    </row>
    <row r="5" spans="46:67" ht="11.25">
      <c r="AT5" s="46" t="s">
        <v>52</v>
      </c>
      <c r="AU5" s="46" t="s">
        <v>51</v>
      </c>
      <c r="AV5" s="99">
        <v>7</v>
      </c>
      <c r="AW5" s="48">
        <v>0</v>
      </c>
      <c r="AX5" s="47">
        <f t="shared" si="0"/>
        <v>0</v>
      </c>
      <c r="BD5" s="8" t="s">
        <v>16</v>
      </c>
      <c r="BE5" s="60">
        <f>AH17</f>
        <v>1</v>
      </c>
      <c r="BF5" s="3">
        <f>AI18</f>
        <v>0.9999999999999998</v>
      </c>
      <c r="BG5" s="3">
        <f>AJ17</f>
        <v>4.718447002522058E-16</v>
      </c>
      <c r="BH5" s="3"/>
      <c r="BI5" s="61"/>
      <c r="BJ5" s="65">
        <f t="shared" si="1"/>
        <v>2.0000000000000004</v>
      </c>
      <c r="BK5" s="60">
        <f t="shared" si="2"/>
        <v>1.0000000000000002</v>
      </c>
      <c r="BL5" s="3">
        <f t="shared" si="3"/>
        <v>1.0000000000000002</v>
      </c>
      <c r="BM5" s="3">
        <f t="shared" si="4"/>
        <v>1.0000000000000002</v>
      </c>
      <c r="BN5" s="3"/>
      <c r="BO5" s="61"/>
    </row>
    <row r="6" spans="38:67" ht="11.25">
      <c r="AL6" s="1">
        <f>AW15</f>
        <v>0.9999999999789054</v>
      </c>
      <c r="AQ6" s="6"/>
      <c r="AT6" s="2" t="s">
        <v>51</v>
      </c>
      <c r="AU6" s="2" t="s">
        <v>50</v>
      </c>
      <c r="AV6" s="95">
        <v>47</v>
      </c>
      <c r="AW6" s="8">
        <v>0.9999999999999992</v>
      </c>
      <c r="AX6" s="42">
        <f t="shared" si="0"/>
        <v>46.999999999999964</v>
      </c>
      <c r="BD6" s="8" t="s">
        <v>50</v>
      </c>
      <c r="BE6" s="60">
        <f>$AI$18</f>
        <v>0.9999999999999998</v>
      </c>
      <c r="BF6" s="3">
        <f>$AH$19</f>
        <v>0.9999999999999992</v>
      </c>
      <c r="BG6" s="3">
        <f>$AL$19</f>
        <v>4.90348478709945E-16</v>
      </c>
      <c r="BH6" s="3"/>
      <c r="BI6" s="61"/>
      <c r="BJ6" s="65">
        <f t="shared" si="1"/>
        <v>1.9999999999999996</v>
      </c>
      <c r="BK6" s="60">
        <f t="shared" si="2"/>
        <v>0.9999999999999998</v>
      </c>
      <c r="BL6" s="3">
        <f t="shared" si="3"/>
        <v>0.9999999999999998</v>
      </c>
      <c r="BM6" s="3">
        <f t="shared" si="4"/>
        <v>0.9999999999999998</v>
      </c>
      <c r="BN6" s="3"/>
      <c r="BO6" s="61"/>
    </row>
    <row r="7" spans="43:67" ht="11.25">
      <c r="AQ7" s="6"/>
      <c r="AT7" s="2" t="s">
        <v>50</v>
      </c>
      <c r="AU7" s="2" t="s">
        <v>54</v>
      </c>
      <c r="AV7" s="95">
        <v>20</v>
      </c>
      <c r="AW7" s="8">
        <v>4.90348478709945E-16</v>
      </c>
      <c r="AX7" s="42">
        <f t="shared" si="0"/>
        <v>9.806969574198901E-15</v>
      </c>
      <c r="BD7" s="8" t="s">
        <v>60</v>
      </c>
      <c r="BE7" s="60">
        <f>AB9</f>
        <v>-1.110217233688273E-16</v>
      </c>
      <c r="BF7" s="3">
        <f>AE13</f>
        <v>0.9999999999999998</v>
      </c>
      <c r="BG7" s="3">
        <f>AH9</f>
        <v>0.9999999999999998</v>
      </c>
      <c r="BH7" s="3"/>
      <c r="BI7" s="61"/>
      <c r="BJ7" s="65">
        <f t="shared" si="1"/>
        <v>1.9999999999999996</v>
      </c>
      <c r="BK7" s="60">
        <f t="shared" si="2"/>
        <v>0.9999999999999998</v>
      </c>
      <c r="BL7" s="3">
        <f t="shared" si="3"/>
        <v>0.9999999999999998</v>
      </c>
      <c r="BM7" s="3">
        <f t="shared" si="4"/>
        <v>0.9999999999999998</v>
      </c>
      <c r="BN7" s="3"/>
      <c r="BO7" s="61"/>
    </row>
    <row r="8" spans="39:67" ht="11.25">
      <c r="AM8" s="1">
        <f>AW16</f>
        <v>0.9999999999945587</v>
      </c>
      <c r="AQ8" s="6"/>
      <c r="AT8" s="2" t="s">
        <v>10</v>
      </c>
      <c r="AU8" s="2" t="s">
        <v>54</v>
      </c>
      <c r="AV8" s="95">
        <v>59.9</v>
      </c>
      <c r="AW8" s="8">
        <v>0.9999999999999997</v>
      </c>
      <c r="AX8" s="42">
        <f t="shared" si="0"/>
        <v>59.89999999999998</v>
      </c>
      <c r="BD8" s="8" t="s">
        <v>17</v>
      </c>
      <c r="BE8" s="60">
        <f>$AF$17</f>
        <v>6.938894467436808E-16</v>
      </c>
      <c r="BF8" s="3">
        <f>$AH$17</f>
        <v>1</v>
      </c>
      <c r="BG8" s="3">
        <f>$AI$14</f>
        <v>0.9999999999999999</v>
      </c>
      <c r="BH8" s="3"/>
      <c r="BI8" s="61"/>
      <c r="BJ8" s="65">
        <f t="shared" si="1"/>
        <v>2.0000000000000004</v>
      </c>
      <c r="BK8" s="60">
        <f t="shared" si="2"/>
        <v>1.0000000000000002</v>
      </c>
      <c r="BL8" s="3">
        <f t="shared" si="3"/>
        <v>1.0000000000000002</v>
      </c>
      <c r="BM8" s="3">
        <f t="shared" si="4"/>
        <v>1.0000000000000002</v>
      </c>
      <c r="BN8" s="3"/>
      <c r="BO8" s="61"/>
    </row>
    <row r="9" spans="3:67" ht="11.25">
      <c r="C9" s="4" t="s">
        <v>78</v>
      </c>
      <c r="F9" s="9">
        <f>AW84</f>
        <v>1.0000000000000002</v>
      </c>
      <c r="I9" s="4" t="s">
        <v>77</v>
      </c>
      <c r="J9" s="9">
        <f>AW82</f>
        <v>1.1102138435777628E-16</v>
      </c>
      <c r="K9" s="4" t="s">
        <v>76</v>
      </c>
      <c r="L9" s="1">
        <f>AW71</f>
        <v>1.0000000000000007</v>
      </c>
      <c r="M9" s="4" t="s">
        <v>75</v>
      </c>
      <c r="N9" s="1">
        <f>AW70</f>
        <v>0.9999999999999998</v>
      </c>
      <c r="O9" s="4" t="s">
        <v>73</v>
      </c>
      <c r="Q9" s="1">
        <f>AW68</f>
        <v>0</v>
      </c>
      <c r="S9" s="4" t="s">
        <v>74</v>
      </c>
      <c r="U9" s="1">
        <f>AW67</f>
        <v>1</v>
      </c>
      <c r="W9" s="4" t="s">
        <v>64</v>
      </c>
      <c r="X9" s="9">
        <f>AW65</f>
        <v>0.9999999999706981</v>
      </c>
      <c r="Y9" s="4" t="s">
        <v>61</v>
      </c>
      <c r="AB9" s="1">
        <f>AW64</f>
        <v>-1.110217233688273E-16</v>
      </c>
      <c r="AE9" s="4" t="s">
        <v>60</v>
      </c>
      <c r="AH9" s="1">
        <f>AW18</f>
        <v>0.9999999999999998</v>
      </c>
      <c r="AK9" s="4" t="s">
        <v>49</v>
      </c>
      <c r="AQ9" s="6"/>
      <c r="AT9" s="2" t="s">
        <v>10</v>
      </c>
      <c r="AU9" s="2" t="s">
        <v>11</v>
      </c>
      <c r="AV9" s="95">
        <v>30.3</v>
      </c>
      <c r="AW9" s="8">
        <v>0.9999999999923395</v>
      </c>
      <c r="AX9" s="42">
        <f t="shared" si="0"/>
        <v>30.299999999767888</v>
      </c>
      <c r="BD9" s="8" t="s">
        <v>18</v>
      </c>
      <c r="BE9" s="60">
        <f>$AE$13</f>
        <v>0.9999999999999998</v>
      </c>
      <c r="BF9" s="3">
        <f>$AD$17</f>
        <v>0</v>
      </c>
      <c r="BG9" s="3">
        <f>$AF$17</f>
        <v>6.938894467436808E-16</v>
      </c>
      <c r="BH9" s="3">
        <f>$AF$18</f>
        <v>0.9999999999953407</v>
      </c>
      <c r="BI9" s="61"/>
      <c r="BJ9" s="65">
        <f t="shared" si="1"/>
        <v>1.999999999995341</v>
      </c>
      <c r="BK9" s="60">
        <f t="shared" si="2"/>
        <v>0.9999999999976705</v>
      </c>
      <c r="BL9" s="3">
        <f t="shared" si="3"/>
        <v>0.9999999999976705</v>
      </c>
      <c r="BM9" s="3">
        <f t="shared" si="4"/>
        <v>0.9999999999976705</v>
      </c>
      <c r="BN9" s="3"/>
      <c r="BO9" s="61"/>
    </row>
    <row r="10" spans="6:67" ht="11.25">
      <c r="F10" s="9"/>
      <c r="J10" s="9"/>
      <c r="M10" s="1">
        <f>AW72</f>
        <v>-1.8041245081791274E-16</v>
      </c>
      <c r="O10" s="1">
        <f>AW73</f>
        <v>0.9999999999999996</v>
      </c>
      <c r="Y10" s="1">
        <f>AW66</f>
        <v>0.9999999999706982</v>
      </c>
      <c r="AK10" s="1">
        <f>AW17</f>
        <v>2.1093742494581467E-11</v>
      </c>
      <c r="AQ10" s="6"/>
      <c r="AT10" s="2" t="s">
        <v>10</v>
      </c>
      <c r="AU10" s="2" t="s">
        <v>15</v>
      </c>
      <c r="AV10" s="95">
        <f>445.9-366</f>
        <v>79.89999999999998</v>
      </c>
      <c r="AW10" s="8">
        <v>2.3314577120947403E-11</v>
      </c>
      <c r="AX10" s="42">
        <f t="shared" si="0"/>
        <v>1.862834711963697E-09</v>
      </c>
      <c r="BD10" s="8" t="s">
        <v>51</v>
      </c>
      <c r="BE10" s="60">
        <f>$AF$18</f>
        <v>0.9999999999953407</v>
      </c>
      <c r="BF10" s="3">
        <f>$AF$19</f>
        <v>3.9965808440456385E-11</v>
      </c>
      <c r="BG10" s="3">
        <f>$AG$20</f>
        <v>0</v>
      </c>
      <c r="BH10" s="3">
        <f>$AH$19</f>
        <v>0.9999999999999992</v>
      </c>
      <c r="BI10" s="61"/>
      <c r="BJ10" s="65">
        <f t="shared" si="1"/>
        <v>2.0000000000353055</v>
      </c>
      <c r="BK10" s="60">
        <f t="shared" si="2"/>
        <v>1.0000000000176528</v>
      </c>
      <c r="BL10" s="3">
        <f t="shared" si="3"/>
        <v>1.0000000000176528</v>
      </c>
      <c r="BM10" s="3">
        <f t="shared" si="4"/>
        <v>1.0000000000176528</v>
      </c>
      <c r="BN10" s="3"/>
      <c r="BO10" s="61"/>
    </row>
    <row r="11" spans="6:67" ht="11.25">
      <c r="F11" s="9"/>
      <c r="J11" s="9"/>
      <c r="K11" s="1">
        <f>AW81</f>
        <v>1</v>
      </c>
      <c r="M11" s="4" t="s">
        <v>70</v>
      </c>
      <c r="N11" s="1">
        <f>AW74</f>
        <v>0.9999999999999998</v>
      </c>
      <c r="O11" s="4" t="s">
        <v>69</v>
      </c>
      <c r="S11" s="1">
        <f>AW69</f>
        <v>0.9999999999999993</v>
      </c>
      <c r="Y11" s="4" t="s">
        <v>62</v>
      </c>
      <c r="AK11" s="4" t="s">
        <v>53</v>
      </c>
      <c r="AT11" s="2" t="s">
        <v>11</v>
      </c>
      <c r="AU11" s="2" t="s">
        <v>151</v>
      </c>
      <c r="AV11" s="95">
        <v>27.3</v>
      </c>
      <c r="AW11" s="8">
        <v>1.0016432128168162E-12</v>
      </c>
      <c r="AX11" s="42">
        <f aca="true" t="shared" si="5" ref="AX11:AX21">AV11*AW11</f>
        <v>2.7344859709899084E-11</v>
      </c>
      <c r="BD11" s="8" t="s">
        <v>52</v>
      </c>
      <c r="BE11" s="60">
        <f>AG20</f>
        <v>0</v>
      </c>
      <c r="BF11" s="3">
        <f>AF21</f>
        <v>0.9999999999999997</v>
      </c>
      <c r="BG11" s="3">
        <f>AF22</f>
        <v>0.9999999999999993</v>
      </c>
      <c r="BH11" s="3"/>
      <c r="BI11" s="61"/>
      <c r="BJ11" s="65">
        <f t="shared" si="1"/>
        <v>1.9999999999999991</v>
      </c>
      <c r="BK11" s="60">
        <f t="shared" si="2"/>
        <v>0.9999999999999996</v>
      </c>
      <c r="BL11" s="3">
        <f t="shared" si="3"/>
        <v>0.9999999999999996</v>
      </c>
      <c r="BM11" s="3">
        <f t="shared" si="4"/>
        <v>0.9999999999999996</v>
      </c>
      <c r="BN11" s="3"/>
      <c r="BO11" s="61"/>
    </row>
    <row r="12" spans="6:67" ht="11.25">
      <c r="F12" s="9"/>
      <c r="J12" s="9"/>
      <c r="M12" s="1">
        <f>AW79</f>
        <v>1.0000000000000002</v>
      </c>
      <c r="O12" s="1">
        <f>AW75</f>
        <v>2.775551647362404E-16</v>
      </c>
      <c r="AT12" s="2" t="s">
        <v>11</v>
      </c>
      <c r="AU12" s="2" t="s">
        <v>15</v>
      </c>
      <c r="AV12" s="95">
        <f>445.9-396.3</f>
        <v>49.599999999999966</v>
      </c>
      <c r="AW12" s="8">
        <v>0.9999999999977791</v>
      </c>
      <c r="AX12" s="42">
        <f t="shared" si="5"/>
        <v>49.59999999988981</v>
      </c>
      <c r="BD12" s="8" t="s">
        <v>19</v>
      </c>
      <c r="BE12" s="60">
        <f>$AB$17</f>
        <v>1</v>
      </c>
      <c r="BF12" s="3">
        <f>$AD$17</f>
        <v>0</v>
      </c>
      <c r="BG12" s="3">
        <f>$X$19</f>
        <v>0.9999999999909001</v>
      </c>
      <c r="BH12" s="3"/>
      <c r="BI12" s="61"/>
      <c r="BJ12" s="65">
        <f t="shared" si="1"/>
        <v>1.9999999999909002</v>
      </c>
      <c r="BK12" s="60">
        <f t="shared" si="2"/>
        <v>0.9999999999954501</v>
      </c>
      <c r="BL12" s="3">
        <f t="shared" si="3"/>
        <v>0.9999999999954501</v>
      </c>
      <c r="BM12" s="3">
        <f t="shared" si="4"/>
        <v>0.9999999999954501</v>
      </c>
      <c r="BN12" s="3"/>
      <c r="BO12" s="61"/>
    </row>
    <row r="13" spans="2:67" ht="11.25">
      <c r="B13" s="1">
        <f>AW41</f>
        <v>2.22044604925771E-16</v>
      </c>
      <c r="C13" s="1">
        <f>AW83</f>
        <v>1</v>
      </c>
      <c r="F13" s="9"/>
      <c r="I13" s="1">
        <f>AW43</f>
        <v>0.9999999999999996</v>
      </c>
      <c r="J13" s="9"/>
      <c r="K13" s="4" t="s">
        <v>72</v>
      </c>
      <c r="L13" s="1">
        <f>AW80</f>
        <v>1.2430010727245441E-11</v>
      </c>
      <c r="M13" s="4" t="s">
        <v>71</v>
      </c>
      <c r="O13" s="4" t="s">
        <v>68</v>
      </c>
      <c r="P13" s="1">
        <f>AW77</f>
        <v>1</v>
      </c>
      <c r="Q13" s="4" t="s">
        <v>66</v>
      </c>
      <c r="R13" s="1">
        <f>AW76</f>
        <v>-4.996017234235514E-16</v>
      </c>
      <c r="S13" s="4" t="s">
        <v>65</v>
      </c>
      <c r="U13" s="1">
        <f>AW55</f>
        <v>2.9301986758023875E-11</v>
      </c>
      <c r="AE13" s="1">
        <f>AW24</f>
        <v>0.9999999999999998</v>
      </c>
      <c r="AM13" s="4" t="s">
        <v>149</v>
      </c>
      <c r="AO13" s="7">
        <f>AW3</f>
        <v>1</v>
      </c>
      <c r="AQ13" s="4" t="s">
        <v>148</v>
      </c>
      <c r="AT13" s="2" t="s">
        <v>15</v>
      </c>
      <c r="AU13" s="2" t="s">
        <v>53</v>
      </c>
      <c r="AV13" s="95">
        <v>31.4</v>
      </c>
      <c r="AW13" s="8">
        <v>0.9999999999789057</v>
      </c>
      <c r="AX13" s="42">
        <f t="shared" si="5"/>
        <v>31.399999999337638</v>
      </c>
      <c r="BD13" s="8" t="s">
        <v>55</v>
      </c>
      <c r="BE13" s="60">
        <f>$AD$19</f>
        <v>0.9999999999753604</v>
      </c>
      <c r="BF13" s="3">
        <f>$AB$20</f>
        <v>1</v>
      </c>
      <c r="BG13" s="3">
        <f>$AB$18</f>
        <v>-5.551058060951432E-17</v>
      </c>
      <c r="BH13" s="3">
        <f>$Z$18</f>
        <v>1.5981216350269278E-11</v>
      </c>
      <c r="BI13" s="61"/>
      <c r="BJ13" s="65">
        <f t="shared" si="1"/>
        <v>1.9999999999913416</v>
      </c>
      <c r="BK13" s="60">
        <f t="shared" si="2"/>
        <v>0.9999999999956708</v>
      </c>
      <c r="BL13" s="3">
        <f t="shared" si="3"/>
        <v>0.9999999999956708</v>
      </c>
      <c r="BM13" s="3">
        <f t="shared" si="4"/>
        <v>0.9999999999956708</v>
      </c>
      <c r="BN13" s="3"/>
      <c r="BO13" s="61"/>
    </row>
    <row r="14" spans="6:67" ht="11.25">
      <c r="F14" s="9"/>
      <c r="J14" s="9"/>
      <c r="O14" s="1">
        <f>AW78</f>
        <v>1</v>
      </c>
      <c r="W14" s="1">
        <f>AW57</f>
        <v>2.4860558056616355E-11</v>
      </c>
      <c r="Y14" s="1">
        <f>AW63</f>
        <v>1</v>
      </c>
      <c r="AI14" s="1">
        <f>AW22</f>
        <v>0.9999999999999999</v>
      </c>
      <c r="AK14" s="1">
        <f>AW13</f>
        <v>0.9999999999789057</v>
      </c>
      <c r="AT14" s="2" t="s">
        <v>15</v>
      </c>
      <c r="AU14" s="2" t="s">
        <v>16</v>
      </c>
      <c r="AV14" s="95">
        <f>491.4-445.9</f>
        <v>45.5</v>
      </c>
      <c r="AW14" s="8">
        <v>4.718447002522058E-16</v>
      </c>
      <c r="AX14" s="42">
        <f t="shared" si="5"/>
        <v>2.146893386147536E-14</v>
      </c>
      <c r="BD14" s="102" t="s">
        <v>205</v>
      </c>
      <c r="BE14" s="60">
        <f>$AD$21</f>
        <v>1.0000000000000007</v>
      </c>
      <c r="BF14" s="3">
        <f>$AB$21</f>
        <v>3.452804708814483E-11</v>
      </c>
      <c r="BG14" s="3">
        <f>$AD$20</f>
        <v>0.999999999980015</v>
      </c>
      <c r="BH14" s="3"/>
      <c r="BI14" s="61"/>
      <c r="BJ14" s="65">
        <f aca="true" t="shared" si="6" ref="BJ14:BJ53">SUM(BE14:BI14)</f>
        <v>2.000000000014544</v>
      </c>
      <c r="BK14" s="60">
        <f aca="true" t="shared" si="7" ref="BK14:BK52">BJ14/2</f>
        <v>1.000000000007272</v>
      </c>
      <c r="BL14" s="3">
        <f aca="true" t="shared" si="8" ref="BL14:BL52">BJ14/2</f>
        <v>1.000000000007272</v>
      </c>
      <c r="BM14" s="3">
        <f aca="true" t="shared" si="9" ref="BM14:BM52">BJ14/2</f>
        <v>1.000000000007272</v>
      </c>
      <c r="BN14" s="3"/>
      <c r="BO14" s="61"/>
    </row>
    <row r="15" spans="6:67" ht="11.25">
      <c r="F15" s="9"/>
      <c r="J15" s="9"/>
      <c r="K15" s="1">
        <f>AW45</f>
        <v>0.9999999999875696</v>
      </c>
      <c r="M15" s="1">
        <f>AW47</f>
        <v>1.0000000000124305</v>
      </c>
      <c r="O15" s="4" t="s">
        <v>67</v>
      </c>
      <c r="Q15" s="1">
        <f>AW52</f>
        <v>1.0000000000000002</v>
      </c>
      <c r="S15" s="1">
        <f>AW54</f>
        <v>1</v>
      </c>
      <c r="AM15" s="1">
        <f>AW11</f>
        <v>1.0016432128168162E-12</v>
      </c>
      <c r="AT15" s="2" t="s">
        <v>48</v>
      </c>
      <c r="AU15" s="2" t="s">
        <v>49</v>
      </c>
      <c r="AV15" s="95">
        <v>190.1</v>
      </c>
      <c r="AW15" s="8">
        <v>0.9999999999789054</v>
      </c>
      <c r="AX15" s="42">
        <f t="shared" si="5"/>
        <v>190.09999999598992</v>
      </c>
      <c r="BD15" s="102" t="s">
        <v>204</v>
      </c>
      <c r="BE15" s="60">
        <f>AD19</f>
        <v>0.9999999999753604</v>
      </c>
      <c r="BF15" s="3">
        <f>AF19</f>
        <v>3.9965808440456385E-11</v>
      </c>
      <c r="BG15" s="3">
        <f>AD20</f>
        <v>0.999999999980015</v>
      </c>
      <c r="BH15" s="3"/>
      <c r="BI15" s="61"/>
      <c r="BJ15" s="65">
        <f t="shared" si="6"/>
        <v>1.999999999995341</v>
      </c>
      <c r="BK15" s="60">
        <f t="shared" si="7"/>
        <v>0.9999999999976705</v>
      </c>
      <c r="BL15" s="3">
        <f t="shared" si="8"/>
        <v>0.9999999999976705</v>
      </c>
      <c r="BM15" s="3">
        <f t="shared" si="9"/>
        <v>0.9999999999976705</v>
      </c>
      <c r="BN15" s="3"/>
      <c r="BO15" s="61"/>
    </row>
    <row r="16" spans="6:67" ht="11.25">
      <c r="F16" s="9"/>
      <c r="J16" s="9"/>
      <c r="O16" s="1">
        <f>AW49</f>
        <v>0.9999999999999998</v>
      </c>
      <c r="P16" s="1">
        <f>AW51</f>
        <v>2.2204120312567372E-16</v>
      </c>
      <c r="AT16" s="2" t="s">
        <v>48</v>
      </c>
      <c r="AU16" s="2" t="s">
        <v>151</v>
      </c>
      <c r="AV16" s="95">
        <v>198.5</v>
      </c>
      <c r="AW16" s="8">
        <v>0.9999999999945587</v>
      </c>
      <c r="AX16" s="42">
        <f t="shared" si="5"/>
        <v>198.4999999989199</v>
      </c>
      <c r="BD16" s="8" t="s">
        <v>57</v>
      </c>
      <c r="BE16" s="60">
        <f>$AF$21</f>
        <v>0.9999999999999997</v>
      </c>
      <c r="BF16" s="3">
        <f>$AE$22</f>
        <v>-6.661337173372568E-16</v>
      </c>
      <c r="BG16" s="3">
        <f>$AD$21</f>
        <v>1.0000000000000007</v>
      </c>
      <c r="BH16" s="3"/>
      <c r="BI16" s="61"/>
      <c r="BJ16" s="65">
        <f t="shared" si="6"/>
        <v>1.9999999999999996</v>
      </c>
      <c r="BK16" s="60">
        <f t="shared" si="7"/>
        <v>0.9999999999999998</v>
      </c>
      <c r="BL16" s="3">
        <f t="shared" si="8"/>
        <v>0.9999999999999998</v>
      </c>
      <c r="BM16" s="3">
        <f t="shared" si="9"/>
        <v>0.9999999999999998</v>
      </c>
      <c r="BN16" s="3"/>
      <c r="BO16" s="61"/>
    </row>
    <row r="17" spans="1:67" ht="11.25">
      <c r="A17" s="4" t="s">
        <v>31</v>
      </c>
      <c r="B17" s="1">
        <f>AW40</f>
        <v>0.9999999999999998</v>
      </c>
      <c r="C17" s="4" t="s">
        <v>30</v>
      </c>
      <c r="E17" s="6"/>
      <c r="F17" s="9">
        <f>AW42</f>
        <v>0</v>
      </c>
      <c r="G17" s="6"/>
      <c r="H17" s="6"/>
      <c r="I17" s="4" t="s">
        <v>26</v>
      </c>
      <c r="J17" s="9">
        <f>AW44</f>
        <v>1</v>
      </c>
      <c r="K17" s="4" t="s">
        <v>25</v>
      </c>
      <c r="L17" s="1">
        <f>AW46</f>
        <v>1.2430635228612214E-11</v>
      </c>
      <c r="M17" s="4" t="s">
        <v>24</v>
      </c>
      <c r="N17" s="1">
        <f>AW48</f>
        <v>0.999999999975139</v>
      </c>
      <c r="O17" s="4" t="s">
        <v>29</v>
      </c>
      <c r="P17" s="1">
        <f>AW50</f>
        <v>2.4860863372630522E-11</v>
      </c>
      <c r="Q17" s="4" t="s">
        <v>23</v>
      </c>
      <c r="R17" s="1">
        <f>AW53</f>
        <v>0.999999999975139</v>
      </c>
      <c r="S17" s="4" t="s">
        <v>28</v>
      </c>
      <c r="T17" s="9">
        <f>AW56</f>
        <v>-4.440170453421424E-12</v>
      </c>
      <c r="U17" s="4" t="s">
        <v>22</v>
      </c>
      <c r="V17" s="1">
        <f>AW58</f>
        <v>2.486033601201143E-11</v>
      </c>
      <c r="W17" s="4" t="s">
        <v>63</v>
      </c>
      <c r="X17" s="1">
        <f>AW59</f>
        <v>0.9999999999353903</v>
      </c>
      <c r="Y17" s="4" t="s">
        <v>21</v>
      </c>
      <c r="Z17" s="1">
        <f>AW29</f>
        <v>0</v>
      </c>
      <c r="AA17" s="4" t="s">
        <v>20</v>
      </c>
      <c r="AB17" s="1">
        <f>AW27</f>
        <v>1</v>
      </c>
      <c r="AC17" s="4" t="s">
        <v>19</v>
      </c>
      <c r="AD17" s="1">
        <f>AW26</f>
        <v>0</v>
      </c>
      <c r="AE17" s="4" t="s">
        <v>18</v>
      </c>
      <c r="AF17" s="1">
        <f>AW23</f>
        <v>6.938894467436808E-16</v>
      </c>
      <c r="AG17" s="4" t="s">
        <v>17</v>
      </c>
      <c r="AH17" s="1">
        <f>AW21</f>
        <v>1</v>
      </c>
      <c r="AI17" s="4" t="s">
        <v>16</v>
      </c>
      <c r="AJ17" s="1">
        <f>AW14</f>
        <v>4.718447002522058E-16</v>
      </c>
      <c r="AK17" s="4" t="s">
        <v>15</v>
      </c>
      <c r="AL17" s="1">
        <f>AW12</f>
        <v>0.9999999999977791</v>
      </c>
      <c r="AM17" s="4" t="s">
        <v>11</v>
      </c>
      <c r="AN17" s="1">
        <f>AW9</f>
        <v>0.9999999999923395</v>
      </c>
      <c r="AO17" s="4" t="s">
        <v>10</v>
      </c>
      <c r="AP17" s="7">
        <f>AW2</f>
        <v>0</v>
      </c>
      <c r="AQ17" s="4" t="s">
        <v>27</v>
      </c>
      <c r="AT17" s="2" t="s">
        <v>49</v>
      </c>
      <c r="AU17" s="2" t="s">
        <v>53</v>
      </c>
      <c r="AV17" s="95">
        <v>14.5</v>
      </c>
      <c r="AW17" s="8">
        <v>2.1093742494581467E-11</v>
      </c>
      <c r="AX17" s="42">
        <f t="shared" si="5"/>
        <v>3.0585926617143126E-10</v>
      </c>
      <c r="BD17" s="8" t="s">
        <v>58</v>
      </c>
      <c r="BE17" s="60">
        <f>AB23</f>
        <v>0.9999999999999998</v>
      </c>
      <c r="BF17" s="3">
        <f>AE22</f>
        <v>-6.661337173372568E-16</v>
      </c>
      <c r="BG17" s="3">
        <f>AF22</f>
        <v>0.9999999999999993</v>
      </c>
      <c r="BH17" s="3"/>
      <c r="BI17" s="61"/>
      <c r="BJ17" s="65">
        <f t="shared" si="6"/>
        <v>1.9999999999999984</v>
      </c>
      <c r="BK17" s="60">
        <f t="shared" si="7"/>
        <v>0.9999999999999992</v>
      </c>
      <c r="BL17" s="3">
        <f t="shared" si="8"/>
        <v>0.9999999999999992</v>
      </c>
      <c r="BM17" s="3">
        <f t="shared" si="9"/>
        <v>0.9999999999999992</v>
      </c>
      <c r="BN17" s="3"/>
      <c r="BO17" s="61"/>
    </row>
    <row r="18" spans="5:67" ht="11.25">
      <c r="E18" s="6"/>
      <c r="F18" s="6"/>
      <c r="G18" s="6"/>
      <c r="H18" s="6"/>
      <c r="Z18" s="1">
        <f>AW62</f>
        <v>1.5981216350269278E-11</v>
      </c>
      <c r="AB18" s="1">
        <f>AW30</f>
        <v>-5.551058060951432E-17</v>
      </c>
      <c r="AF18" s="1">
        <f>AW25</f>
        <v>0.9999999999953407</v>
      </c>
      <c r="AI18" s="1">
        <f>AW20</f>
        <v>0.9999999999999998</v>
      </c>
      <c r="AM18" s="1">
        <f>AW10</f>
        <v>2.3314577120947403E-11</v>
      </c>
      <c r="AO18" s="1">
        <f>AW8</f>
        <v>0.9999999999999997</v>
      </c>
      <c r="AT18" s="2" t="s">
        <v>49</v>
      </c>
      <c r="AU18" s="2" t="s">
        <v>60</v>
      </c>
      <c r="AV18" s="95">
        <v>110.7</v>
      </c>
      <c r="AW18" s="8">
        <v>0.9999999999999998</v>
      </c>
      <c r="AX18" s="42">
        <f t="shared" si="5"/>
        <v>110.69999999999997</v>
      </c>
      <c r="BD18" s="8" t="s">
        <v>20</v>
      </c>
      <c r="BE18" s="60">
        <f>$AB$17</f>
        <v>1</v>
      </c>
      <c r="BF18" s="3">
        <f>$Z$17</f>
        <v>0</v>
      </c>
      <c r="BG18" s="3">
        <f>$AA$20</f>
        <v>0.9999999999999999</v>
      </c>
      <c r="BH18" s="3">
        <f>$AB$18</f>
        <v>-5.551058060951432E-17</v>
      </c>
      <c r="BI18" s="61"/>
      <c r="BJ18" s="65">
        <f t="shared" si="6"/>
        <v>2</v>
      </c>
      <c r="BK18" s="60">
        <f t="shared" si="7"/>
        <v>1</v>
      </c>
      <c r="BL18" s="3">
        <f t="shared" si="8"/>
        <v>1</v>
      </c>
      <c r="BM18" s="3">
        <f t="shared" si="9"/>
        <v>1</v>
      </c>
      <c r="BN18" s="3"/>
      <c r="BO18" s="61"/>
    </row>
    <row r="19" spans="5:67" ht="11.25">
      <c r="E19" s="6"/>
      <c r="F19" s="6"/>
      <c r="G19" s="6"/>
      <c r="H19" s="6"/>
      <c r="X19" s="1">
        <f>AW28</f>
        <v>0.9999999999909001</v>
      </c>
      <c r="AC19" s="4" t="s">
        <v>55</v>
      </c>
      <c r="AD19" s="1">
        <f>AW61</f>
        <v>0.9999999999753604</v>
      </c>
      <c r="AE19" s="4" t="s">
        <v>204</v>
      </c>
      <c r="AF19" s="1">
        <f>AW37</f>
        <v>3.9965808440456385E-11</v>
      </c>
      <c r="AG19" s="4" t="s">
        <v>51</v>
      </c>
      <c r="AH19" s="1">
        <f>AW6</f>
        <v>0.9999999999999992</v>
      </c>
      <c r="AI19" s="4" t="s">
        <v>50</v>
      </c>
      <c r="AL19" s="1">
        <f>AW7</f>
        <v>4.90348478709945E-16</v>
      </c>
      <c r="AO19" s="4" t="s">
        <v>54</v>
      </c>
      <c r="AT19" s="2" t="s">
        <v>54</v>
      </c>
      <c r="AU19" s="2" t="s">
        <v>59</v>
      </c>
      <c r="AV19" s="95">
        <f>102.4-59.9+208.8-71.1+262-61.3</f>
        <v>380.90000000000003</v>
      </c>
      <c r="AW19" s="8">
        <v>1</v>
      </c>
      <c r="AX19" s="42">
        <f t="shared" si="5"/>
        <v>380.90000000000003</v>
      </c>
      <c r="BD19" s="8" t="s">
        <v>56</v>
      </c>
      <c r="BE19" s="60">
        <f>$AA$20</f>
        <v>0.9999999999999999</v>
      </c>
      <c r="BF19" s="3">
        <f>$AB$20</f>
        <v>1</v>
      </c>
      <c r="BG19" s="3">
        <f>$AB$21</f>
        <v>3.452804708814483E-11</v>
      </c>
      <c r="BH19" s="3">
        <f>$AA$22</f>
        <v>3.053118046333356E-16</v>
      </c>
      <c r="BI19" s="61"/>
      <c r="BJ19" s="65">
        <f t="shared" si="6"/>
        <v>2.0000000000345284</v>
      </c>
      <c r="BK19" s="60">
        <f t="shared" si="7"/>
        <v>1.0000000000172642</v>
      </c>
      <c r="BL19" s="3">
        <f t="shared" si="8"/>
        <v>1.0000000000172642</v>
      </c>
      <c r="BM19" s="3">
        <f t="shared" si="9"/>
        <v>1.0000000000172642</v>
      </c>
      <c r="BN19" s="3"/>
      <c r="BO19" s="61"/>
    </row>
    <row r="20" spans="5:67" ht="11.25">
      <c r="E20" s="6"/>
      <c r="F20" s="6"/>
      <c r="G20" s="6"/>
      <c r="H20" s="6"/>
      <c r="AA20" s="1">
        <f>AW31</f>
        <v>0.9999999999999999</v>
      </c>
      <c r="AB20" s="1">
        <f>AW32</f>
        <v>1</v>
      </c>
      <c r="AD20" s="1">
        <f>AW36</f>
        <v>0.999999999980015</v>
      </c>
      <c r="AG20" s="1">
        <f>AW5</f>
        <v>0</v>
      </c>
      <c r="AT20" s="2" t="s">
        <v>16</v>
      </c>
      <c r="AU20" s="2" t="s">
        <v>50</v>
      </c>
      <c r="AV20" s="95">
        <v>36.7</v>
      </c>
      <c r="AW20" s="8">
        <v>0.9999999999999998</v>
      </c>
      <c r="AX20" s="42">
        <f t="shared" si="5"/>
        <v>36.699999999999996</v>
      </c>
      <c r="BD20" s="8" t="s">
        <v>59</v>
      </c>
      <c r="BE20" s="60">
        <f>AA22</f>
        <v>3.053118046333356E-16</v>
      </c>
      <c r="BF20" s="3">
        <f>AB23</f>
        <v>0.9999999999999998</v>
      </c>
      <c r="BG20" s="3">
        <f>AI22</f>
        <v>1</v>
      </c>
      <c r="BH20" s="3"/>
      <c r="BI20" s="61"/>
      <c r="BJ20" s="65">
        <f t="shared" si="6"/>
        <v>2</v>
      </c>
      <c r="BK20" s="60">
        <f t="shared" si="7"/>
        <v>1</v>
      </c>
      <c r="BL20" s="3">
        <f t="shared" si="8"/>
        <v>1</v>
      </c>
      <c r="BM20" s="3">
        <f t="shared" si="9"/>
        <v>1</v>
      </c>
      <c r="BN20" s="3"/>
      <c r="BO20" s="61"/>
    </row>
    <row r="21" spans="5:67" ht="11.25">
      <c r="E21" s="6"/>
      <c r="F21" s="6"/>
      <c r="G21" s="6"/>
      <c r="H21" s="6"/>
      <c r="AA21" s="4" t="s">
        <v>56</v>
      </c>
      <c r="AB21" s="1">
        <f>AW33</f>
        <v>3.452804708814483E-11</v>
      </c>
      <c r="AC21" s="4" t="s">
        <v>206</v>
      </c>
      <c r="AD21" s="1">
        <f>AW35</f>
        <v>1.0000000000000007</v>
      </c>
      <c r="AE21" s="4" t="s">
        <v>57</v>
      </c>
      <c r="AF21" s="1">
        <f>AW39</f>
        <v>0.9999999999999997</v>
      </c>
      <c r="AG21" s="4" t="s">
        <v>52</v>
      </c>
      <c r="AT21" s="2" t="s">
        <v>16</v>
      </c>
      <c r="AU21" s="2" t="s">
        <v>17</v>
      </c>
      <c r="AV21" s="95">
        <f>508.1-491.4</f>
        <v>16.700000000000045</v>
      </c>
      <c r="AW21" s="8">
        <v>1</v>
      </c>
      <c r="AX21" s="42">
        <f t="shared" si="5"/>
        <v>16.700000000000045</v>
      </c>
      <c r="BD21" s="8" t="s">
        <v>61</v>
      </c>
      <c r="BE21" s="60">
        <f>$X$9</f>
        <v>0.9999999999706981</v>
      </c>
      <c r="BF21" s="3">
        <f>$AB$9</f>
        <v>-1.110217233688273E-16</v>
      </c>
      <c r="BG21" s="3">
        <f>$Y$10</f>
        <v>0.9999999999706982</v>
      </c>
      <c r="BH21" s="3"/>
      <c r="BI21" s="61"/>
      <c r="BJ21" s="65">
        <f t="shared" si="6"/>
        <v>1.9999999999413962</v>
      </c>
      <c r="BK21" s="60">
        <f t="shared" si="7"/>
        <v>0.9999999999706981</v>
      </c>
      <c r="BL21" s="3">
        <f t="shared" si="8"/>
        <v>0.9999999999706981</v>
      </c>
      <c r="BM21" s="3">
        <f t="shared" si="9"/>
        <v>0.9999999999706981</v>
      </c>
      <c r="BN21" s="3"/>
      <c r="BO21" s="61"/>
    </row>
    <row r="22" spans="10:67" ht="11.25">
      <c r="J22" s="18" t="s">
        <v>202</v>
      </c>
      <c r="AA22" s="1">
        <f>AW34</f>
        <v>3.053118046333356E-16</v>
      </c>
      <c r="AE22" s="1">
        <f>AW38</f>
        <v>-6.661337173372568E-16</v>
      </c>
      <c r="AF22" s="1">
        <f>AW85</f>
        <v>0.9999999999999993</v>
      </c>
      <c r="AI22" s="1">
        <f>AW19</f>
        <v>1</v>
      </c>
      <c r="AT22" s="2" t="s">
        <v>17</v>
      </c>
      <c r="AU22" s="2" t="s">
        <v>53</v>
      </c>
      <c r="AV22" s="95">
        <f>122.4-48.3</f>
        <v>74.10000000000001</v>
      </c>
      <c r="AW22" s="8">
        <v>0.9999999999999999</v>
      </c>
      <c r="AX22" s="42">
        <f aca="true" t="shared" si="10" ref="AX22:AX34">AV22*AW22</f>
        <v>74.1</v>
      </c>
      <c r="BD22" s="8" t="s">
        <v>62</v>
      </c>
      <c r="BE22" s="60">
        <f>W14</f>
        <v>2.4860558056616355E-11</v>
      </c>
      <c r="BF22" s="3">
        <f>Y10</f>
        <v>0.9999999999706982</v>
      </c>
      <c r="BG22" s="3">
        <f>Y14</f>
        <v>1</v>
      </c>
      <c r="BH22" s="3"/>
      <c r="BI22" s="61"/>
      <c r="BJ22" s="65">
        <f t="shared" si="6"/>
        <v>1.9999999999955587</v>
      </c>
      <c r="BK22" s="60">
        <f t="shared" si="7"/>
        <v>0.9999999999977793</v>
      </c>
      <c r="BL22" s="3">
        <f t="shared" si="8"/>
        <v>0.9999999999977793</v>
      </c>
      <c r="BM22" s="3">
        <f t="shared" si="9"/>
        <v>0.9999999999977793</v>
      </c>
      <c r="BN22" s="3"/>
      <c r="BO22" s="61"/>
    </row>
    <row r="23" spans="10:67" ht="11.25" customHeight="1">
      <c r="J23" s="136" t="s">
        <v>172</v>
      </c>
      <c r="K23" s="137"/>
      <c r="L23" s="57" t="s">
        <v>193</v>
      </c>
      <c r="M23" s="68" t="s">
        <v>194</v>
      </c>
      <c r="AA23" s="4" t="s">
        <v>59</v>
      </c>
      <c r="AB23" s="1">
        <f>AW60</f>
        <v>0.9999999999999998</v>
      </c>
      <c r="AE23" s="4" t="s">
        <v>58</v>
      </c>
      <c r="AT23" s="2" t="s">
        <v>17</v>
      </c>
      <c r="AU23" s="2" t="s">
        <v>18</v>
      </c>
      <c r="AV23" s="95">
        <v>5.5</v>
      </c>
      <c r="AW23" s="8">
        <v>6.938894467436808E-16</v>
      </c>
      <c r="AX23" s="42">
        <f t="shared" si="10"/>
        <v>3.816391957090245E-15</v>
      </c>
      <c r="BD23" s="8" t="s">
        <v>21</v>
      </c>
      <c r="BE23" s="60">
        <f>$X$17</f>
        <v>0.9999999999353903</v>
      </c>
      <c r="BF23" s="3">
        <f>$Y$14</f>
        <v>1</v>
      </c>
      <c r="BG23" s="3">
        <f>$Z$17</f>
        <v>0</v>
      </c>
      <c r="BH23" s="3">
        <f>$Z$18</f>
        <v>1.5981216350269278E-11</v>
      </c>
      <c r="BI23" s="61"/>
      <c r="BJ23" s="65">
        <f t="shared" si="6"/>
        <v>1.9999999999513716</v>
      </c>
      <c r="BK23" s="60">
        <f t="shared" si="7"/>
        <v>0.9999999999756858</v>
      </c>
      <c r="BL23" s="3">
        <f t="shared" si="8"/>
        <v>0.9999999999756858</v>
      </c>
      <c r="BM23" s="3">
        <f t="shared" si="9"/>
        <v>0.9999999999756858</v>
      </c>
      <c r="BN23" s="3"/>
      <c r="BO23" s="61"/>
    </row>
    <row r="24" spans="10:67" ht="11.25">
      <c r="J24" s="40" t="s">
        <v>195</v>
      </c>
      <c r="K24" s="41"/>
      <c r="L24" s="16">
        <v>2</v>
      </c>
      <c r="M24" s="123">
        <f>AA20+AB20+AB18</f>
        <v>2</v>
      </c>
      <c r="AT24" s="2" t="s">
        <v>18</v>
      </c>
      <c r="AU24" s="2" t="s">
        <v>60</v>
      </c>
      <c r="AV24" s="95">
        <v>76.2</v>
      </c>
      <c r="AW24" s="8">
        <v>0.9999999999999998</v>
      </c>
      <c r="AX24" s="42">
        <f t="shared" si="10"/>
        <v>76.19999999999999</v>
      </c>
      <c r="BD24" s="8" t="s">
        <v>63</v>
      </c>
      <c r="BE24" s="60">
        <f>V17</f>
        <v>2.486033601201143E-11</v>
      </c>
      <c r="BF24" s="3">
        <f>X19</f>
        <v>0.9999999999909001</v>
      </c>
      <c r="BG24" s="3">
        <f>X17</f>
        <v>0.9999999999353903</v>
      </c>
      <c r="BH24" s="3"/>
      <c r="BI24" s="61"/>
      <c r="BJ24" s="65">
        <f t="shared" si="6"/>
        <v>1.9999999999511506</v>
      </c>
      <c r="BK24" s="60">
        <f t="shared" si="7"/>
        <v>0.9999999999755753</v>
      </c>
      <c r="BL24" s="3">
        <f t="shared" si="8"/>
        <v>0.9999999999755753</v>
      </c>
      <c r="BM24" s="3">
        <f t="shared" si="9"/>
        <v>0.9999999999755753</v>
      </c>
      <c r="BN24" s="3"/>
      <c r="BO24" s="61"/>
    </row>
    <row r="25" spans="10:67" ht="11.25">
      <c r="J25" s="43" t="s">
        <v>160</v>
      </c>
      <c r="K25" s="44"/>
      <c r="L25" s="57">
        <v>2</v>
      </c>
      <c r="M25" s="126">
        <f>AM15+AK10+AF17+AF18+AB17+Z17+Z18</f>
        <v>2.0000000000334177</v>
      </c>
      <c r="P25" s="3"/>
      <c r="Q25" s="3"/>
      <c r="AT25" s="2" t="s">
        <v>18</v>
      </c>
      <c r="AU25" s="2" t="s">
        <v>51</v>
      </c>
      <c r="AV25" s="95">
        <v>34.7</v>
      </c>
      <c r="AW25" s="8">
        <v>0.9999999999953407</v>
      </c>
      <c r="AX25" s="42">
        <f t="shared" si="10"/>
        <v>34.699999999838326</v>
      </c>
      <c r="BD25" s="8" t="s">
        <v>54</v>
      </c>
      <c r="BE25" s="60">
        <f>$AO$18</f>
        <v>0.9999999999999997</v>
      </c>
      <c r="BF25" s="3">
        <f>$AL$19</f>
        <v>4.90348478709945E-16</v>
      </c>
      <c r="BG25" s="3">
        <f>$AI$22</f>
        <v>1</v>
      </c>
      <c r="BH25" s="3"/>
      <c r="BI25" s="61"/>
      <c r="BJ25" s="65">
        <f t="shared" si="6"/>
        <v>2</v>
      </c>
      <c r="BK25" s="60">
        <f t="shared" si="7"/>
        <v>1</v>
      </c>
      <c r="BL25" s="3">
        <f t="shared" si="8"/>
        <v>1</v>
      </c>
      <c r="BM25" s="3">
        <f t="shared" si="9"/>
        <v>1</v>
      </c>
      <c r="BN25" s="3"/>
      <c r="BO25" s="61"/>
    </row>
    <row r="26" spans="10:67" ht="11.25">
      <c r="J26" s="69"/>
      <c r="K26" s="70"/>
      <c r="L26" s="11">
        <v>2</v>
      </c>
      <c r="M26" s="127">
        <f>X17+Y14+AB17+AF18+AF17+AK10+AM15</f>
        <v>3.999999999952827</v>
      </c>
      <c r="O26" s="3"/>
      <c r="P26" s="3"/>
      <c r="Q26" s="3"/>
      <c r="AT26" s="2" t="s">
        <v>18</v>
      </c>
      <c r="AU26" s="2" t="s">
        <v>19</v>
      </c>
      <c r="AV26" s="95">
        <f>552.6-513.6</f>
        <v>39</v>
      </c>
      <c r="AW26" s="8">
        <v>0</v>
      </c>
      <c r="AX26" s="42">
        <f t="shared" si="10"/>
        <v>0</v>
      </c>
      <c r="BD26" s="8" t="s">
        <v>11</v>
      </c>
      <c r="BE26" s="60">
        <f>$AL$17</f>
        <v>0.9999999999977791</v>
      </c>
      <c r="BF26" s="3">
        <f>$AM$15</f>
        <v>1.0016432128168162E-12</v>
      </c>
      <c r="BG26" s="3">
        <f>AN17</f>
        <v>0.9999999999923395</v>
      </c>
      <c r="BH26" s="3"/>
      <c r="BI26" s="61"/>
      <c r="BJ26" s="65">
        <f t="shared" si="6"/>
        <v>1.9999999999911202</v>
      </c>
      <c r="BK26" s="60">
        <f t="shared" si="7"/>
        <v>0.9999999999955601</v>
      </c>
      <c r="BL26" s="3">
        <f t="shared" si="8"/>
        <v>0.9999999999955601</v>
      </c>
      <c r="BM26" s="3">
        <f t="shared" si="9"/>
        <v>0.9999999999955601</v>
      </c>
      <c r="BN26" s="3"/>
      <c r="BO26" s="61"/>
    </row>
    <row r="27" spans="10:67" ht="11.25">
      <c r="J27" s="40" t="s">
        <v>159</v>
      </c>
      <c r="K27" s="41"/>
      <c r="L27" s="16" t="s">
        <v>155</v>
      </c>
      <c r="M27" s="67" t="s">
        <v>157</v>
      </c>
      <c r="AT27" s="2" t="s">
        <v>19</v>
      </c>
      <c r="AU27" s="2" t="s">
        <v>20</v>
      </c>
      <c r="AV27" s="95">
        <v>3.8</v>
      </c>
      <c r="AW27" s="8">
        <v>1</v>
      </c>
      <c r="AX27" s="42">
        <f t="shared" si="10"/>
        <v>3.8</v>
      </c>
      <c r="BD27" s="8" t="s">
        <v>49</v>
      </c>
      <c r="BE27" s="60">
        <f>$AH$9</f>
        <v>0.9999999999999998</v>
      </c>
      <c r="BF27" s="3">
        <f>$AL$6</f>
        <v>0.9999999999789054</v>
      </c>
      <c r="BG27" s="3">
        <f>$AK$10</f>
        <v>2.1093742494581467E-11</v>
      </c>
      <c r="BH27" s="3"/>
      <c r="BI27" s="61"/>
      <c r="BJ27" s="65">
        <f t="shared" si="6"/>
        <v>1.9999999999999991</v>
      </c>
      <c r="BK27" s="60">
        <f t="shared" si="7"/>
        <v>0.9999999999999996</v>
      </c>
      <c r="BL27" s="3">
        <f t="shared" si="8"/>
        <v>0.9999999999999996</v>
      </c>
      <c r="BM27" s="3">
        <f t="shared" si="9"/>
        <v>0.9999999999999996</v>
      </c>
      <c r="BN27" s="3"/>
      <c r="BO27" s="61"/>
    </row>
    <row r="28" spans="9:67" ht="11.25">
      <c r="I28" s="43" t="s">
        <v>192</v>
      </c>
      <c r="J28" s="44"/>
      <c r="K28" s="108" t="s">
        <v>210</v>
      </c>
      <c r="L28" s="105" t="s">
        <v>155</v>
      </c>
      <c r="M28" s="106" t="s">
        <v>157</v>
      </c>
      <c r="AT28" s="2" t="s">
        <v>19</v>
      </c>
      <c r="AU28" s="2" t="s">
        <v>63</v>
      </c>
      <c r="AV28" s="95">
        <f>612.3-552.6</f>
        <v>59.69999999999993</v>
      </c>
      <c r="AW28" s="8">
        <v>0.9999999999909001</v>
      </c>
      <c r="AX28" s="42">
        <f t="shared" si="10"/>
        <v>59.699999999456665</v>
      </c>
      <c r="BD28" s="8" t="s">
        <v>53</v>
      </c>
      <c r="BE28" s="60">
        <f>$AK$10</f>
        <v>2.1093742494581467E-11</v>
      </c>
      <c r="BF28" s="3">
        <f>$AK$14</f>
        <v>0.9999999999789057</v>
      </c>
      <c r="BG28" s="3">
        <f>$AI$14</f>
        <v>0.9999999999999999</v>
      </c>
      <c r="BH28" s="3"/>
      <c r="BI28" s="61"/>
      <c r="BJ28" s="65">
        <f t="shared" si="6"/>
        <v>1.9999999999999993</v>
      </c>
      <c r="BK28" s="60">
        <f t="shared" si="7"/>
        <v>0.9999999999999997</v>
      </c>
      <c r="BL28" s="3">
        <f t="shared" si="8"/>
        <v>0.9999999999999997</v>
      </c>
      <c r="BM28" s="3">
        <f t="shared" si="9"/>
        <v>0.9999999999999997</v>
      </c>
      <c r="BN28" s="3"/>
      <c r="BO28" s="61"/>
    </row>
    <row r="29" spans="9:67" ht="11.25">
      <c r="I29" s="60"/>
      <c r="J29" s="61"/>
      <c r="K29" s="109" t="s">
        <v>211</v>
      </c>
      <c r="L29" s="112">
        <v>1</v>
      </c>
      <c r="M29" s="129">
        <f>AM8+AK10+AF17+AF18+AB17+Z17</f>
        <v>3.000000000010994</v>
      </c>
      <c r="AT29" s="2" t="s">
        <v>20</v>
      </c>
      <c r="AU29" s="2" t="s">
        <v>21</v>
      </c>
      <c r="AV29" s="95">
        <f>564.1-556.4</f>
        <v>7.7000000000000455</v>
      </c>
      <c r="AW29" s="8">
        <v>0</v>
      </c>
      <c r="AX29" s="42">
        <f t="shared" si="10"/>
        <v>0</v>
      </c>
      <c r="BD29" s="8" t="s">
        <v>15</v>
      </c>
      <c r="BE29" s="60">
        <f>$AJ$17</f>
        <v>4.718447002522058E-16</v>
      </c>
      <c r="BF29" s="3">
        <f>$AL$17</f>
        <v>0.9999999999977791</v>
      </c>
      <c r="BG29" s="3">
        <f>$AK$14</f>
        <v>0.9999999999789057</v>
      </c>
      <c r="BH29" s="3">
        <f>AM18</f>
        <v>2.3314577120947403E-11</v>
      </c>
      <c r="BI29" s="61"/>
      <c r="BJ29" s="65">
        <f t="shared" si="6"/>
        <v>2</v>
      </c>
      <c r="BK29" s="60">
        <f t="shared" si="7"/>
        <v>1</v>
      </c>
      <c r="BL29" s="3">
        <f t="shared" si="8"/>
        <v>1</v>
      </c>
      <c r="BM29" s="3">
        <f t="shared" si="9"/>
        <v>1</v>
      </c>
      <c r="BN29" s="3"/>
      <c r="BO29" s="61"/>
    </row>
    <row r="30" spans="9:67" ht="11.25">
      <c r="I30" s="60"/>
      <c r="J30" s="61"/>
      <c r="K30" s="65"/>
      <c r="L30" s="60">
        <v>3</v>
      </c>
      <c r="M30" s="128">
        <f>Z17+Z18+AB20+AA20</f>
        <v>2.000000000015981</v>
      </c>
      <c r="AT30" s="2" t="s">
        <v>20</v>
      </c>
      <c r="AU30" s="2" t="s">
        <v>55</v>
      </c>
      <c r="AV30" s="95">
        <v>4.2</v>
      </c>
      <c r="AW30" s="8">
        <v>-5.551058060951432E-17</v>
      </c>
      <c r="AX30" s="42">
        <f t="shared" si="10"/>
        <v>-2.3314443855996017E-16</v>
      </c>
      <c r="BD30" s="8" t="s">
        <v>64</v>
      </c>
      <c r="BE30" s="60">
        <f>U9</f>
        <v>1</v>
      </c>
      <c r="BF30" s="3">
        <f>U13</f>
        <v>2.9301986758023875E-11</v>
      </c>
      <c r="BG30" s="3">
        <f>X9</f>
        <v>0.9999999999706981</v>
      </c>
      <c r="BH30" s="3"/>
      <c r="BI30" s="61"/>
      <c r="BJ30" s="65">
        <f t="shared" si="6"/>
        <v>2</v>
      </c>
      <c r="BK30" s="60">
        <f t="shared" si="7"/>
        <v>1</v>
      </c>
      <c r="BL30" s="3">
        <f t="shared" si="8"/>
        <v>1</v>
      </c>
      <c r="BM30" s="3">
        <f t="shared" si="9"/>
        <v>1</v>
      </c>
      <c r="BN30" s="3"/>
      <c r="BO30" s="61"/>
    </row>
    <row r="31" spans="9:67" ht="11.25">
      <c r="I31" s="60"/>
      <c r="J31" s="61"/>
      <c r="K31" s="110"/>
      <c r="L31" s="107">
        <v>2</v>
      </c>
      <c r="M31" s="130">
        <f>AO18+AI18+AF18+AB17+Z17</f>
        <v>3.99999999999534</v>
      </c>
      <c r="AT31" s="2" t="s">
        <v>20</v>
      </c>
      <c r="AU31" s="2" t="s">
        <v>56</v>
      </c>
      <c r="AV31" s="95">
        <v>11</v>
      </c>
      <c r="AW31" s="8">
        <v>0.9999999999999999</v>
      </c>
      <c r="AX31" s="42">
        <f t="shared" si="10"/>
        <v>10.999999999999998</v>
      </c>
      <c r="BD31" s="8" t="s">
        <v>22</v>
      </c>
      <c r="BE31" s="60">
        <f>$T$17</f>
        <v>-4.440170453421424E-12</v>
      </c>
      <c r="BF31" s="3">
        <f>$V$17</f>
        <v>2.486033601201143E-11</v>
      </c>
      <c r="BG31" s="3">
        <f>$W$14</f>
        <v>2.4860558056616355E-11</v>
      </c>
      <c r="BH31" s="3"/>
      <c r="BI31" s="61"/>
      <c r="BJ31" s="65">
        <f t="shared" si="6"/>
        <v>4.528072361520636E-11</v>
      </c>
      <c r="BK31" s="60">
        <f t="shared" si="7"/>
        <v>2.264036180760318E-11</v>
      </c>
      <c r="BL31" s="3">
        <f t="shared" si="8"/>
        <v>2.264036180760318E-11</v>
      </c>
      <c r="BM31" s="3">
        <f t="shared" si="9"/>
        <v>2.264036180760318E-11</v>
      </c>
      <c r="BN31" s="3"/>
      <c r="BO31" s="61"/>
    </row>
    <row r="32" spans="9:67" ht="11.25">
      <c r="I32" s="60"/>
      <c r="J32" s="61"/>
      <c r="K32" s="111" t="s">
        <v>212</v>
      </c>
      <c r="L32" s="60">
        <v>1</v>
      </c>
      <c r="M32" s="124">
        <f>AN17+AM18+AL19+AG20+AF19+AD17+AB9</f>
        <v>1.0000000000556204</v>
      </c>
      <c r="AT32" s="2" t="s">
        <v>56</v>
      </c>
      <c r="AU32" s="2" t="s">
        <v>55</v>
      </c>
      <c r="AV32" s="95">
        <v>6.5</v>
      </c>
      <c r="AW32" s="8">
        <v>1</v>
      </c>
      <c r="AX32" s="42">
        <f t="shared" si="10"/>
        <v>6.5</v>
      </c>
      <c r="BD32" s="8" t="s">
        <v>74</v>
      </c>
      <c r="BE32" s="60">
        <f>Q9</f>
        <v>0</v>
      </c>
      <c r="BF32" s="3">
        <f>S11</f>
        <v>0.9999999999999993</v>
      </c>
      <c r="BG32" s="3">
        <f>U9</f>
        <v>1</v>
      </c>
      <c r="BH32" s="3"/>
      <c r="BI32" s="61"/>
      <c r="BJ32" s="65">
        <f t="shared" si="6"/>
        <v>1.9999999999999993</v>
      </c>
      <c r="BK32" s="60">
        <f t="shared" si="7"/>
        <v>0.9999999999999997</v>
      </c>
      <c r="BL32" s="3">
        <f t="shared" si="8"/>
        <v>0.9999999999999997</v>
      </c>
      <c r="BM32" s="3">
        <f t="shared" si="9"/>
        <v>0.9999999999999997</v>
      </c>
      <c r="BN32" s="3"/>
      <c r="BO32" s="61"/>
    </row>
    <row r="33" spans="9:67" ht="11.25">
      <c r="I33" s="60"/>
      <c r="J33" s="61"/>
      <c r="K33" s="65"/>
      <c r="L33" s="60">
        <v>1</v>
      </c>
      <c r="M33" s="124">
        <f>AM8+AK10+AF17+AF18+AB17+X17+Y14</f>
        <v>4.999999999946384</v>
      </c>
      <c r="AT33" s="2" t="s">
        <v>56</v>
      </c>
      <c r="AU33" s="102" t="s">
        <v>205</v>
      </c>
      <c r="AV33" s="101">
        <v>7.1</v>
      </c>
      <c r="AW33" s="8">
        <v>3.452804708814483E-11</v>
      </c>
      <c r="AX33" s="42">
        <f t="shared" si="10"/>
        <v>2.451491343258283E-10</v>
      </c>
      <c r="BD33" s="8" t="s">
        <v>65</v>
      </c>
      <c r="BE33" s="60">
        <f>$R$13</f>
        <v>-4.996017234235514E-16</v>
      </c>
      <c r="BF33" s="3">
        <f>$S$11</f>
        <v>0.9999999999999993</v>
      </c>
      <c r="BG33" s="3">
        <f>$S$15</f>
        <v>1</v>
      </c>
      <c r="BH33" s="3"/>
      <c r="BI33" s="61"/>
      <c r="BJ33" s="65">
        <f t="shared" si="6"/>
        <v>1.999999999999999</v>
      </c>
      <c r="BK33" s="60">
        <f t="shared" si="7"/>
        <v>0.9999999999999994</v>
      </c>
      <c r="BL33" s="3">
        <f t="shared" si="8"/>
        <v>0.9999999999999994</v>
      </c>
      <c r="BM33" s="3">
        <f t="shared" si="9"/>
        <v>0.9999999999999994</v>
      </c>
      <c r="BN33" s="3"/>
      <c r="BO33" s="61"/>
    </row>
    <row r="34" spans="9:67" ht="11.25">
      <c r="I34" s="11"/>
      <c r="J34" s="62"/>
      <c r="K34" s="46"/>
      <c r="L34" s="11">
        <v>1</v>
      </c>
      <c r="M34" s="127">
        <f>AM8+AK10+AF17+AF18+AA22+AB21+AD19</f>
        <v>3.000000000020883</v>
      </c>
      <c r="AT34" s="2" t="s">
        <v>56</v>
      </c>
      <c r="AU34" s="2" t="s">
        <v>59</v>
      </c>
      <c r="AV34" s="95">
        <v>61.3</v>
      </c>
      <c r="AW34" s="8">
        <v>3.053118046333356E-16</v>
      </c>
      <c r="AX34" s="42">
        <f t="shared" si="10"/>
        <v>1.8715613624023474E-14</v>
      </c>
      <c r="BD34" s="8" t="s">
        <v>28</v>
      </c>
      <c r="BE34" s="60">
        <f>R17</f>
        <v>0.999999999975139</v>
      </c>
      <c r="BF34" s="3">
        <f>S15</f>
        <v>1</v>
      </c>
      <c r="BG34" s="3">
        <f>U13</f>
        <v>2.9301986758023875E-11</v>
      </c>
      <c r="BH34" s="3">
        <f>T17</f>
        <v>-4.440170453421424E-12</v>
      </c>
      <c r="BI34" s="61"/>
      <c r="BJ34" s="65">
        <f t="shared" si="6"/>
        <v>2.000000000000001</v>
      </c>
      <c r="BK34" s="60">
        <f t="shared" si="7"/>
        <v>1.0000000000000004</v>
      </c>
      <c r="BL34" s="3">
        <f t="shared" si="8"/>
        <v>1.0000000000000004</v>
      </c>
      <c r="BM34" s="3">
        <f t="shared" si="9"/>
        <v>1.0000000000000004</v>
      </c>
      <c r="BN34" s="3"/>
      <c r="BO34" s="61"/>
    </row>
    <row r="35" spans="46:67" ht="11.25">
      <c r="AT35" s="102" t="s">
        <v>205</v>
      </c>
      <c r="AU35" s="102" t="s">
        <v>208</v>
      </c>
      <c r="AV35" s="101">
        <v>15</v>
      </c>
      <c r="AW35" s="8">
        <v>1.0000000000000007</v>
      </c>
      <c r="AX35" s="42">
        <f>AV35*AW35</f>
        <v>15.00000000000001</v>
      </c>
      <c r="BD35" s="8" t="s">
        <v>66</v>
      </c>
      <c r="BE35" s="60">
        <f>P13</f>
        <v>1</v>
      </c>
      <c r="BF35" s="3">
        <f>R13</f>
        <v>-4.996017234235514E-16</v>
      </c>
      <c r="BG35" s="3">
        <f>Q15</f>
        <v>1.0000000000000002</v>
      </c>
      <c r="BH35" s="3"/>
      <c r="BI35" s="61"/>
      <c r="BJ35" s="65">
        <f t="shared" si="6"/>
        <v>1.9999999999999998</v>
      </c>
      <c r="BK35" s="60">
        <f t="shared" si="7"/>
        <v>0.9999999999999999</v>
      </c>
      <c r="BL35" s="3">
        <f t="shared" si="8"/>
        <v>0.9999999999999999</v>
      </c>
      <c r="BM35" s="3">
        <f t="shared" si="9"/>
        <v>0.9999999999999999</v>
      </c>
      <c r="BN35" s="3"/>
      <c r="BO35" s="61"/>
    </row>
    <row r="36" spans="46:67" ht="11.25">
      <c r="AT36" s="102" t="s">
        <v>205</v>
      </c>
      <c r="AU36" s="102" t="s">
        <v>204</v>
      </c>
      <c r="AV36" s="101">
        <v>9.2</v>
      </c>
      <c r="AW36" s="8">
        <v>0.999999999980015</v>
      </c>
      <c r="AX36" s="42">
        <f>AV36*AW36</f>
        <v>9.199999999816137</v>
      </c>
      <c r="BD36" s="8" t="s">
        <v>23</v>
      </c>
      <c r="BE36" s="60">
        <f>P17</f>
        <v>2.4860863372630522E-11</v>
      </c>
      <c r="BF36" s="3">
        <f>P16</f>
        <v>2.2204120312567372E-16</v>
      </c>
      <c r="BG36" s="3">
        <f>Q15</f>
        <v>1.0000000000000002</v>
      </c>
      <c r="BH36" s="3">
        <f>R17</f>
        <v>0.999999999975139</v>
      </c>
      <c r="BI36" s="61"/>
      <c r="BJ36" s="65">
        <f t="shared" si="6"/>
        <v>2</v>
      </c>
      <c r="BK36" s="60">
        <f t="shared" si="7"/>
        <v>1</v>
      </c>
      <c r="BL36" s="3">
        <f t="shared" si="8"/>
        <v>1</v>
      </c>
      <c r="BM36" s="3">
        <f t="shared" si="9"/>
        <v>1</v>
      </c>
      <c r="BN36" s="3"/>
      <c r="BO36" s="61"/>
    </row>
    <row r="37" spans="46:67" ht="11.25">
      <c r="AT37" s="102" t="s">
        <v>204</v>
      </c>
      <c r="AU37" s="102" t="s">
        <v>207</v>
      </c>
      <c r="AV37" s="101">
        <v>41.6</v>
      </c>
      <c r="AW37" s="8">
        <v>3.9965808440456385E-11</v>
      </c>
      <c r="AX37" s="42">
        <f>AV37*AW37</f>
        <v>1.6625776311229856E-09</v>
      </c>
      <c r="BD37" s="8" t="s">
        <v>73</v>
      </c>
      <c r="BE37" s="60">
        <f>N9</f>
        <v>0.9999999999999998</v>
      </c>
      <c r="BF37" s="3">
        <f>O10</f>
        <v>0.9999999999999996</v>
      </c>
      <c r="BG37" s="3">
        <f>Q9</f>
        <v>0</v>
      </c>
      <c r="BH37" s="3"/>
      <c r="BI37" s="61"/>
      <c r="BJ37" s="65">
        <f t="shared" si="6"/>
        <v>1.9999999999999993</v>
      </c>
      <c r="BK37" s="60">
        <f t="shared" si="7"/>
        <v>0.9999999999999997</v>
      </c>
      <c r="BL37" s="3">
        <f t="shared" si="8"/>
        <v>0.9999999999999997</v>
      </c>
      <c r="BM37" s="3">
        <f t="shared" si="9"/>
        <v>0.9999999999999997</v>
      </c>
      <c r="BN37" s="3"/>
      <c r="BO37" s="61"/>
    </row>
    <row r="38" spans="46:67" ht="11.25">
      <c r="AT38" s="2" t="s">
        <v>57</v>
      </c>
      <c r="AU38" s="2" t="s">
        <v>58</v>
      </c>
      <c r="AV38" s="95">
        <v>11.5</v>
      </c>
      <c r="AW38" s="8">
        <v>-6.661337173372568E-16</v>
      </c>
      <c r="AX38" s="42">
        <f>AV38*AW38</f>
        <v>-7.660537749378453E-15</v>
      </c>
      <c r="BD38" s="8" t="s">
        <v>69</v>
      </c>
      <c r="BE38" s="60">
        <f>$O$10</f>
        <v>0.9999999999999996</v>
      </c>
      <c r="BF38" s="3">
        <f>$O$12</f>
        <v>2.775551647362404E-16</v>
      </c>
      <c r="BG38" s="3">
        <f>$N$11</f>
        <v>0.9999999999999998</v>
      </c>
      <c r="BH38" s="3"/>
      <c r="BI38" s="61"/>
      <c r="BJ38" s="65">
        <f t="shared" si="6"/>
        <v>1.9999999999999996</v>
      </c>
      <c r="BK38" s="60">
        <f t="shared" si="7"/>
        <v>0.9999999999999998</v>
      </c>
      <c r="BL38" s="3">
        <f t="shared" si="8"/>
        <v>0.9999999999999998</v>
      </c>
      <c r="BM38" s="3">
        <f t="shared" si="9"/>
        <v>0.9999999999999998</v>
      </c>
      <c r="BN38" s="3"/>
      <c r="BO38" s="61"/>
    </row>
    <row r="39" spans="46:67" ht="11.25">
      <c r="AT39" s="2" t="s">
        <v>57</v>
      </c>
      <c r="AU39" s="2" t="s">
        <v>52</v>
      </c>
      <c r="AV39" s="95">
        <v>15.4</v>
      </c>
      <c r="AW39" s="8">
        <v>0.9999999999999997</v>
      </c>
      <c r="AX39" s="42">
        <f>AV39*AW39</f>
        <v>15.399999999999995</v>
      </c>
      <c r="BD39" s="8" t="s">
        <v>68</v>
      </c>
      <c r="BE39" s="60">
        <f>O12</f>
        <v>2.775551647362404E-16</v>
      </c>
      <c r="BF39" s="3">
        <f>P13</f>
        <v>1</v>
      </c>
      <c r="BG39" s="3">
        <f>O14</f>
        <v>1</v>
      </c>
      <c r="BH39" s="3"/>
      <c r="BI39" s="61"/>
      <c r="BJ39" s="65">
        <f t="shared" si="6"/>
        <v>2</v>
      </c>
      <c r="BK39" s="60">
        <f t="shared" si="7"/>
        <v>1</v>
      </c>
      <c r="BL39" s="3">
        <f t="shared" si="8"/>
        <v>1</v>
      </c>
      <c r="BM39" s="3">
        <f t="shared" si="9"/>
        <v>1</v>
      </c>
      <c r="BN39" s="3"/>
      <c r="BO39" s="61"/>
    </row>
    <row r="40" spans="46:67" ht="11.25">
      <c r="AT40" s="2" t="s">
        <v>31</v>
      </c>
      <c r="AU40" s="2" t="s">
        <v>30</v>
      </c>
      <c r="AV40" s="95">
        <f>1092.4-1062.1</f>
        <v>30.300000000000182</v>
      </c>
      <c r="AW40" s="8">
        <v>0.9999999999999998</v>
      </c>
      <c r="AX40" s="42">
        <f>AV40*AW40</f>
        <v>30.300000000000175</v>
      </c>
      <c r="BD40" s="8" t="s">
        <v>67</v>
      </c>
      <c r="BE40" s="60">
        <f>$O$14</f>
        <v>1</v>
      </c>
      <c r="BF40" s="3">
        <f>$P$16</f>
        <v>2.2204120312567372E-16</v>
      </c>
      <c r="BG40" s="3">
        <f>$O$16</f>
        <v>0.9999999999999998</v>
      </c>
      <c r="BH40" s="3"/>
      <c r="BI40" s="61"/>
      <c r="BJ40" s="65">
        <f t="shared" si="6"/>
        <v>2</v>
      </c>
      <c r="BK40" s="60">
        <f t="shared" si="7"/>
        <v>1</v>
      </c>
      <c r="BL40" s="3">
        <f t="shared" si="8"/>
        <v>1</v>
      </c>
      <c r="BM40" s="3">
        <f t="shared" si="9"/>
        <v>1</v>
      </c>
      <c r="BN40" s="3"/>
      <c r="BO40" s="61"/>
    </row>
    <row r="41" spans="46:67" ht="11.25">
      <c r="AT41" s="2" t="s">
        <v>31</v>
      </c>
      <c r="AU41" s="2" t="s">
        <v>78</v>
      </c>
      <c r="AV41" s="95">
        <f>77.7-3.5</f>
        <v>74.2</v>
      </c>
      <c r="AW41" s="8">
        <v>2.22044604925771E-16</v>
      </c>
      <c r="AX41" s="42">
        <f>AV41*AW41</f>
        <v>1.647570968549221E-14</v>
      </c>
      <c r="BD41" s="8" t="s">
        <v>29</v>
      </c>
      <c r="BE41" s="60">
        <f>$O$16</f>
        <v>0.9999999999999998</v>
      </c>
      <c r="BF41" s="3">
        <f>$P$17</f>
        <v>2.4860863372630522E-11</v>
      </c>
      <c r="BG41" s="3">
        <f>$N$17</f>
        <v>0.999999999975139</v>
      </c>
      <c r="BH41" s="3"/>
      <c r="BI41" s="61"/>
      <c r="BJ41" s="65">
        <f t="shared" si="6"/>
        <v>1.9999999999999996</v>
      </c>
      <c r="BK41" s="60">
        <f t="shared" si="7"/>
        <v>0.9999999999999998</v>
      </c>
      <c r="BL41" s="3">
        <f t="shared" si="8"/>
        <v>0.9999999999999998</v>
      </c>
      <c r="BM41" s="3">
        <f t="shared" si="9"/>
        <v>0.9999999999999998</v>
      </c>
      <c r="BN41" s="3"/>
      <c r="BO41" s="61"/>
    </row>
    <row r="42" spans="46:67" ht="11.25">
      <c r="AT42" s="2" t="s">
        <v>30</v>
      </c>
      <c r="AU42" s="2" t="s">
        <v>26</v>
      </c>
      <c r="AV42" s="95">
        <f>1052.3-1027+1062.1-1055.8+4.3+11.6</f>
        <v>47.49999999999991</v>
      </c>
      <c r="AW42" s="8">
        <v>0</v>
      </c>
      <c r="AX42" s="42">
        <f>AV42*AW42</f>
        <v>0</v>
      </c>
      <c r="BD42" s="8" t="s">
        <v>75</v>
      </c>
      <c r="BE42" s="60">
        <f>$N$9</f>
        <v>0.9999999999999998</v>
      </c>
      <c r="BF42" s="3">
        <f>$L$9</f>
        <v>1.0000000000000007</v>
      </c>
      <c r="BG42" s="3">
        <f>$M$10</f>
        <v>-1.8041245081791274E-16</v>
      </c>
      <c r="BH42" s="3"/>
      <c r="BI42" s="61"/>
      <c r="BJ42" s="65">
        <f t="shared" si="6"/>
        <v>2.0000000000000004</v>
      </c>
      <c r="BK42" s="60">
        <f t="shared" si="7"/>
        <v>1.0000000000000002</v>
      </c>
      <c r="BL42" s="3">
        <f t="shared" si="8"/>
        <v>1.0000000000000002</v>
      </c>
      <c r="BM42" s="3">
        <f t="shared" si="9"/>
        <v>1.0000000000000002</v>
      </c>
      <c r="BN42" s="3"/>
      <c r="BO42" s="61"/>
    </row>
    <row r="43" spans="46:67" ht="11.25">
      <c r="AT43" s="2" t="s">
        <v>26</v>
      </c>
      <c r="AU43" s="2" t="s">
        <v>77</v>
      </c>
      <c r="AV43" s="95">
        <v>93.9</v>
      </c>
      <c r="AW43" s="8">
        <v>0.9999999999999996</v>
      </c>
      <c r="AX43" s="42">
        <f aca="true" t="shared" si="11" ref="AX43:AX85">AV43*AW43</f>
        <v>93.89999999999996</v>
      </c>
      <c r="BD43" s="8" t="s">
        <v>70</v>
      </c>
      <c r="BE43" s="60">
        <f>M10</f>
        <v>-1.8041245081791274E-16</v>
      </c>
      <c r="BF43" s="3">
        <f>N11</f>
        <v>0.9999999999999998</v>
      </c>
      <c r="BG43" s="3">
        <f>M12</f>
        <v>1.0000000000000002</v>
      </c>
      <c r="BH43" s="3"/>
      <c r="BI43" s="61"/>
      <c r="BJ43" s="65">
        <f t="shared" si="6"/>
        <v>1.9999999999999998</v>
      </c>
      <c r="BK43" s="60">
        <f t="shared" si="7"/>
        <v>0.9999999999999999</v>
      </c>
      <c r="BL43" s="3">
        <f t="shared" si="8"/>
        <v>0.9999999999999999</v>
      </c>
      <c r="BM43" s="3">
        <f t="shared" si="9"/>
        <v>0.9999999999999999</v>
      </c>
      <c r="BN43" s="3"/>
      <c r="BO43" s="61"/>
    </row>
    <row r="44" spans="46:67" ht="11.25">
      <c r="AT44" s="2" t="s">
        <v>26</v>
      </c>
      <c r="AU44" s="2" t="s">
        <v>25</v>
      </c>
      <c r="AV44" s="95">
        <v>154.5</v>
      </c>
      <c r="AW44" s="8">
        <v>1</v>
      </c>
      <c r="AX44" s="42">
        <f t="shared" si="11"/>
        <v>154.5</v>
      </c>
      <c r="BD44" s="8" t="s">
        <v>71</v>
      </c>
      <c r="BE44" s="60">
        <f>$M$12</f>
        <v>1.0000000000000002</v>
      </c>
      <c r="BF44" s="3">
        <f>$L$13</f>
        <v>1.2430010727245441E-11</v>
      </c>
      <c r="BG44" s="3">
        <f>$M$15</f>
        <v>1.0000000000124305</v>
      </c>
      <c r="BH44" s="3"/>
      <c r="BI44" s="61"/>
      <c r="BJ44" s="65">
        <f t="shared" si="6"/>
        <v>2.000000000024861</v>
      </c>
      <c r="BK44" s="60">
        <f t="shared" si="7"/>
        <v>1.0000000000124305</v>
      </c>
      <c r="BL44" s="3">
        <f t="shared" si="8"/>
        <v>1.0000000000124305</v>
      </c>
      <c r="BM44" s="3">
        <f t="shared" si="9"/>
        <v>1.0000000000124305</v>
      </c>
      <c r="BN44" s="3"/>
      <c r="BO44" s="61"/>
    </row>
    <row r="45" spans="46:67" ht="11.25">
      <c r="AT45" s="2" t="s">
        <v>25</v>
      </c>
      <c r="AU45" s="2" t="s">
        <v>72</v>
      </c>
      <c r="AV45" s="95">
        <v>68.8</v>
      </c>
      <c r="AW45" s="8">
        <v>0.9999999999875696</v>
      </c>
      <c r="AX45" s="42">
        <f t="shared" si="11"/>
        <v>68.79999999914479</v>
      </c>
      <c r="BD45" s="8" t="s">
        <v>24</v>
      </c>
      <c r="BE45" s="60">
        <f>L17</f>
        <v>1.2430635228612214E-11</v>
      </c>
      <c r="BF45" s="3">
        <f>M15</f>
        <v>1.0000000000124305</v>
      </c>
      <c r="BG45" s="3">
        <f>N17</f>
        <v>0.999999999975139</v>
      </c>
      <c r="BH45" s="3"/>
      <c r="BI45" s="61"/>
      <c r="BJ45" s="65">
        <f t="shared" si="6"/>
        <v>2</v>
      </c>
      <c r="BK45" s="60">
        <f t="shared" si="7"/>
        <v>1</v>
      </c>
      <c r="BL45" s="3">
        <f t="shared" si="8"/>
        <v>1</v>
      </c>
      <c r="BM45" s="3">
        <f t="shared" si="9"/>
        <v>1</v>
      </c>
      <c r="BN45" s="3"/>
      <c r="BO45" s="61"/>
    </row>
    <row r="46" spans="46:67" ht="11.25">
      <c r="AT46" s="2" t="s">
        <v>25</v>
      </c>
      <c r="AU46" s="2" t="s">
        <v>24</v>
      </c>
      <c r="AV46" s="95">
        <f>93.4+822.8-791.2</f>
        <v>124.99999999999989</v>
      </c>
      <c r="AW46" s="8">
        <v>1.2430635228612214E-11</v>
      </c>
      <c r="AX46" s="42">
        <f t="shared" si="11"/>
        <v>1.5538294035765253E-09</v>
      </c>
      <c r="BD46" s="8" t="s">
        <v>76</v>
      </c>
      <c r="BE46" s="60">
        <f>J9</f>
        <v>1.1102138435777628E-16</v>
      </c>
      <c r="BF46" s="3">
        <f>K11</f>
        <v>1</v>
      </c>
      <c r="BG46" s="3">
        <f>L9</f>
        <v>1.0000000000000007</v>
      </c>
      <c r="BH46" s="3"/>
      <c r="BI46" s="61"/>
      <c r="BJ46" s="65">
        <f t="shared" si="6"/>
        <v>2.000000000000001</v>
      </c>
      <c r="BK46" s="60">
        <f t="shared" si="7"/>
        <v>1.0000000000000004</v>
      </c>
      <c r="BL46" s="3">
        <f t="shared" si="8"/>
        <v>1.0000000000000004</v>
      </c>
      <c r="BM46" s="3">
        <f t="shared" si="9"/>
        <v>1.0000000000000004</v>
      </c>
      <c r="BN46" s="3"/>
      <c r="BO46" s="61"/>
    </row>
    <row r="47" spans="46:67" ht="11.25">
      <c r="AT47" s="2" t="s">
        <v>24</v>
      </c>
      <c r="AU47" s="2" t="s">
        <v>71</v>
      </c>
      <c r="AV47" s="95">
        <f>23.6+54.4</f>
        <v>78</v>
      </c>
      <c r="AW47" s="8">
        <v>1.0000000000124305</v>
      </c>
      <c r="AX47" s="42">
        <f t="shared" si="11"/>
        <v>78.00000000096958</v>
      </c>
      <c r="BD47" s="8" t="s">
        <v>72</v>
      </c>
      <c r="BE47" s="60">
        <f>$K$11</f>
        <v>1</v>
      </c>
      <c r="BF47" s="3">
        <f>$L$13</f>
        <v>1.2430010727245441E-11</v>
      </c>
      <c r="BG47" s="3">
        <f>$K$15</f>
        <v>0.9999999999875696</v>
      </c>
      <c r="BH47" s="3"/>
      <c r="BI47" s="61"/>
      <c r="BJ47" s="65">
        <f t="shared" si="6"/>
        <v>1.9999999999999996</v>
      </c>
      <c r="BK47" s="60">
        <f t="shared" si="7"/>
        <v>0.9999999999999998</v>
      </c>
      <c r="BL47" s="3">
        <f t="shared" si="8"/>
        <v>0.9999999999999998</v>
      </c>
      <c r="BM47" s="3">
        <f t="shared" si="9"/>
        <v>0.9999999999999998</v>
      </c>
      <c r="BN47" s="3"/>
      <c r="BO47" s="61"/>
    </row>
    <row r="48" spans="46:67" ht="11.25">
      <c r="AT48" s="2" t="s">
        <v>24</v>
      </c>
      <c r="AU48" s="2" t="s">
        <v>29</v>
      </c>
      <c r="AV48" s="95">
        <f>351.5-309.1</f>
        <v>42.39999999999998</v>
      </c>
      <c r="AW48" s="8">
        <v>0.999999999975139</v>
      </c>
      <c r="AX48" s="42">
        <f t="shared" si="11"/>
        <v>42.39999999894587</v>
      </c>
      <c r="BD48" s="8" t="s">
        <v>25</v>
      </c>
      <c r="BE48" s="60">
        <f>J17</f>
        <v>1</v>
      </c>
      <c r="BF48" s="3">
        <f>K15</f>
        <v>0.9999999999875696</v>
      </c>
      <c r="BG48" s="3">
        <f>L17</f>
        <v>1.2430635228612214E-11</v>
      </c>
      <c r="BH48" s="3"/>
      <c r="BI48" s="61"/>
      <c r="BJ48" s="65">
        <f t="shared" si="6"/>
        <v>2</v>
      </c>
      <c r="BK48" s="60">
        <f t="shared" si="7"/>
        <v>1</v>
      </c>
      <c r="BL48" s="3">
        <f t="shared" si="8"/>
        <v>1</v>
      </c>
      <c r="BM48" s="3">
        <f t="shared" si="9"/>
        <v>1</v>
      </c>
      <c r="BN48" s="3"/>
      <c r="BO48" s="61"/>
    </row>
    <row r="49" spans="46:67" ht="11.25">
      <c r="AT49" s="2" t="s">
        <v>29</v>
      </c>
      <c r="AU49" s="2" t="s">
        <v>67</v>
      </c>
      <c r="AV49" s="95">
        <f>26.6-15.9</f>
        <v>10.700000000000001</v>
      </c>
      <c r="AW49" s="8">
        <v>0.9999999999999998</v>
      </c>
      <c r="AX49" s="42">
        <f t="shared" si="11"/>
        <v>10.7</v>
      </c>
      <c r="BD49" s="8" t="s">
        <v>77</v>
      </c>
      <c r="BE49" s="60">
        <f>F9</f>
        <v>1.0000000000000002</v>
      </c>
      <c r="BF49" s="3">
        <f>J9</f>
        <v>1.1102138435777628E-16</v>
      </c>
      <c r="BG49" s="3">
        <f>I13</f>
        <v>0.9999999999999996</v>
      </c>
      <c r="BH49" s="3"/>
      <c r="BI49" s="61"/>
      <c r="BJ49" s="65">
        <f t="shared" si="6"/>
        <v>2</v>
      </c>
      <c r="BK49" s="60">
        <f t="shared" si="7"/>
        <v>1</v>
      </c>
      <c r="BL49" s="3">
        <f t="shared" si="8"/>
        <v>1</v>
      </c>
      <c r="BM49" s="3">
        <f t="shared" si="9"/>
        <v>1</v>
      </c>
      <c r="BN49" s="3"/>
      <c r="BO49" s="61"/>
    </row>
    <row r="50" spans="46:67" ht="11.25">
      <c r="AT50" s="2" t="s">
        <v>29</v>
      </c>
      <c r="AU50" s="2" t="s">
        <v>23</v>
      </c>
      <c r="AV50" s="95">
        <v>15.9</v>
      </c>
      <c r="AW50" s="8">
        <v>2.4860863372630522E-11</v>
      </c>
      <c r="AX50" s="42">
        <f t="shared" si="11"/>
        <v>3.952877276248253E-10</v>
      </c>
      <c r="BD50" s="8" t="s">
        <v>26</v>
      </c>
      <c r="BE50" s="60">
        <f>F17</f>
        <v>0</v>
      </c>
      <c r="BF50" s="3">
        <f>I13</f>
        <v>0.9999999999999996</v>
      </c>
      <c r="BG50" s="3">
        <f>J17</f>
        <v>1</v>
      </c>
      <c r="BH50" s="3"/>
      <c r="BI50" s="61"/>
      <c r="BJ50" s="65">
        <f t="shared" si="6"/>
        <v>1.9999999999999996</v>
      </c>
      <c r="BK50" s="60">
        <f t="shared" si="7"/>
        <v>0.9999999999999998</v>
      </c>
      <c r="BL50" s="3">
        <f t="shared" si="8"/>
        <v>0.9999999999999998</v>
      </c>
      <c r="BM50" s="3">
        <f t="shared" si="9"/>
        <v>0.9999999999999998</v>
      </c>
      <c r="BN50" s="3"/>
      <c r="BO50" s="61"/>
    </row>
    <row r="51" spans="46:67" ht="11.25">
      <c r="AT51" s="2" t="s">
        <v>23</v>
      </c>
      <c r="AU51" s="2" t="s">
        <v>67</v>
      </c>
      <c r="AV51" s="95">
        <v>20.4</v>
      </c>
      <c r="AW51" s="8">
        <v>2.2204120312567372E-16</v>
      </c>
      <c r="AX51" s="42">
        <f t="shared" si="11"/>
        <v>4.529640543763744E-15</v>
      </c>
      <c r="BD51" s="8" t="s">
        <v>78</v>
      </c>
      <c r="BE51" s="60">
        <f>B13</f>
        <v>2.22044604925771E-16</v>
      </c>
      <c r="BF51" s="3">
        <f>F9</f>
        <v>1.0000000000000002</v>
      </c>
      <c r="BG51" s="3">
        <f>C13</f>
        <v>1</v>
      </c>
      <c r="BH51" s="3"/>
      <c r="BI51" s="61"/>
      <c r="BJ51" s="65">
        <f t="shared" si="6"/>
        <v>2.0000000000000004</v>
      </c>
      <c r="BK51" s="60">
        <f t="shared" si="7"/>
        <v>1.0000000000000002</v>
      </c>
      <c r="BL51" s="3">
        <f t="shared" si="8"/>
        <v>1.0000000000000002</v>
      </c>
      <c r="BM51" s="3">
        <f t="shared" si="9"/>
        <v>1.0000000000000002</v>
      </c>
      <c r="BN51" s="3"/>
      <c r="BO51" s="61"/>
    </row>
    <row r="52" spans="46:67" ht="11.25">
      <c r="AT52" s="2" t="s">
        <v>23</v>
      </c>
      <c r="AU52" s="2" t="s">
        <v>66</v>
      </c>
      <c r="AV52" s="95">
        <v>58.7</v>
      </c>
      <c r="AW52" s="8">
        <v>1.0000000000000002</v>
      </c>
      <c r="AX52" s="42">
        <f t="shared" si="11"/>
        <v>58.70000000000002</v>
      </c>
      <c r="BD52" s="66" t="s">
        <v>30</v>
      </c>
      <c r="BE52" s="60">
        <f>$F$17</f>
        <v>0</v>
      </c>
      <c r="BF52" s="3">
        <f>$B$17</f>
        <v>0.9999999999999998</v>
      </c>
      <c r="BG52" s="3">
        <f>$C$13</f>
        <v>1</v>
      </c>
      <c r="BH52" s="3"/>
      <c r="BI52" s="61"/>
      <c r="BJ52" s="65">
        <f t="shared" si="6"/>
        <v>1.9999999999999998</v>
      </c>
      <c r="BK52" s="60">
        <f t="shared" si="7"/>
        <v>0.9999999999999999</v>
      </c>
      <c r="BL52" s="3">
        <f t="shared" si="8"/>
        <v>0.9999999999999999</v>
      </c>
      <c r="BM52" s="3">
        <f t="shared" si="9"/>
        <v>0.9999999999999999</v>
      </c>
      <c r="BN52" s="3"/>
      <c r="BO52" s="61"/>
    </row>
    <row r="53" spans="46:67" ht="11.25">
      <c r="AT53" s="2" t="s">
        <v>23</v>
      </c>
      <c r="AU53" s="2" t="s">
        <v>28</v>
      </c>
      <c r="AV53" s="95">
        <f>456-367.4</f>
        <v>88.60000000000002</v>
      </c>
      <c r="AW53" s="8">
        <v>0.999999999975139</v>
      </c>
      <c r="AX53" s="42">
        <f t="shared" si="11"/>
        <v>88.59999999779734</v>
      </c>
      <c r="BD53" s="8" t="s">
        <v>31</v>
      </c>
      <c r="BE53" s="16">
        <f>B13</f>
        <v>2.22044604925771E-16</v>
      </c>
      <c r="BF53" s="63">
        <f>B17</f>
        <v>0.9999999999999998</v>
      </c>
      <c r="BG53" s="63"/>
      <c r="BH53" s="63"/>
      <c r="BI53" s="39"/>
      <c r="BJ53" s="2">
        <f t="shared" si="6"/>
        <v>1</v>
      </c>
      <c r="BK53" s="16"/>
      <c r="BL53" s="63"/>
      <c r="BM53" s="63"/>
      <c r="BN53" s="63"/>
      <c r="BO53" s="39"/>
    </row>
    <row r="54" spans="46:50" ht="11.25">
      <c r="AT54" s="2" t="s">
        <v>28</v>
      </c>
      <c r="AU54" s="2" t="s">
        <v>65</v>
      </c>
      <c r="AV54" s="95">
        <v>83.7</v>
      </c>
      <c r="AW54" s="8">
        <v>1</v>
      </c>
      <c r="AX54" s="42">
        <f t="shared" si="11"/>
        <v>83.7</v>
      </c>
    </row>
    <row r="55" spans="46:50" ht="11.25">
      <c r="AT55" s="2" t="s">
        <v>28</v>
      </c>
      <c r="AU55" s="2" t="s">
        <v>64</v>
      </c>
      <c r="AV55" s="95">
        <v>65.7</v>
      </c>
      <c r="AW55" s="8">
        <v>2.9301986758023875E-11</v>
      </c>
      <c r="AX55" s="42">
        <f t="shared" si="11"/>
        <v>1.9251405300021688E-09</v>
      </c>
    </row>
    <row r="56" spans="46:50" ht="11.25">
      <c r="AT56" s="2" t="s">
        <v>28</v>
      </c>
      <c r="AU56" s="2" t="s">
        <v>22</v>
      </c>
      <c r="AV56" s="95">
        <f>471.7-456</f>
        <v>15.699999999999989</v>
      </c>
      <c r="AW56" s="8">
        <v>-4.440170453421424E-12</v>
      </c>
      <c r="AX56" s="42">
        <f t="shared" si="11"/>
        <v>-6.97106761187163E-11</v>
      </c>
    </row>
    <row r="57" spans="46:50" ht="11.25">
      <c r="AT57" s="2" t="s">
        <v>22</v>
      </c>
      <c r="AU57" s="2" t="s">
        <v>62</v>
      </c>
      <c r="AV57" s="95">
        <v>48.5</v>
      </c>
      <c r="AW57" s="8">
        <v>2.4860558056616355E-11</v>
      </c>
      <c r="AX57" s="42">
        <f t="shared" si="11"/>
        <v>1.2057370657458932E-09</v>
      </c>
    </row>
    <row r="58" spans="46:50" ht="11.25">
      <c r="AT58" s="2" t="s">
        <v>22</v>
      </c>
      <c r="AU58" s="2" t="s">
        <v>63</v>
      </c>
      <c r="AV58" s="95">
        <f>488-471.7</f>
        <v>16.30000000000001</v>
      </c>
      <c r="AW58" s="8">
        <v>2.486033601201143E-11</v>
      </c>
      <c r="AX58" s="42">
        <f t="shared" si="11"/>
        <v>4.052234769957866E-10</v>
      </c>
    </row>
    <row r="59" spans="46:50" ht="11.25">
      <c r="AT59" s="2" t="s">
        <v>63</v>
      </c>
      <c r="AU59" s="2" t="s">
        <v>21</v>
      </c>
      <c r="AV59" s="95">
        <f>536.2-488</f>
        <v>48.200000000000045</v>
      </c>
      <c r="AW59" s="8">
        <v>0.9999999999353903</v>
      </c>
      <c r="AX59" s="42">
        <f t="shared" si="11"/>
        <v>48.19999999688586</v>
      </c>
    </row>
    <row r="60" spans="46:50" ht="11.25">
      <c r="AT60" s="2" t="s">
        <v>59</v>
      </c>
      <c r="AU60" s="2" t="s">
        <v>58</v>
      </c>
      <c r="AV60" s="101">
        <v>76</v>
      </c>
      <c r="AW60" s="8">
        <v>0.9999999999999998</v>
      </c>
      <c r="AX60" s="42">
        <f t="shared" si="11"/>
        <v>75.99999999999999</v>
      </c>
    </row>
    <row r="61" spans="46:50" ht="11.25">
      <c r="AT61" s="2" t="s">
        <v>55</v>
      </c>
      <c r="AU61" s="102" t="s">
        <v>204</v>
      </c>
      <c r="AV61" s="101">
        <v>3.2</v>
      </c>
      <c r="AW61" s="8">
        <v>0.9999999999753604</v>
      </c>
      <c r="AX61" s="42">
        <f t="shared" si="11"/>
        <v>3.1999999999211535</v>
      </c>
    </row>
    <row r="62" spans="46:50" ht="11.25">
      <c r="AT62" s="2" t="s">
        <v>55</v>
      </c>
      <c r="AU62" s="2" t="s">
        <v>21</v>
      </c>
      <c r="AV62" s="95">
        <f>57.3-44.8</f>
        <v>12.5</v>
      </c>
      <c r="AW62" s="8">
        <v>1.5981216350269278E-11</v>
      </c>
      <c r="AX62" s="42">
        <f t="shared" si="11"/>
        <v>1.9976520437836598E-10</v>
      </c>
    </row>
    <row r="63" spans="46:50" ht="11.25">
      <c r="AT63" s="2" t="s">
        <v>21</v>
      </c>
      <c r="AU63" s="2" t="s">
        <v>62</v>
      </c>
      <c r="AV63" s="95">
        <f>80.7-7.7</f>
        <v>73</v>
      </c>
      <c r="AW63" s="8">
        <v>1</v>
      </c>
      <c r="AX63" s="42">
        <f t="shared" si="11"/>
        <v>73</v>
      </c>
    </row>
    <row r="64" spans="46:50" ht="11.25">
      <c r="AT64" s="2" t="s">
        <v>61</v>
      </c>
      <c r="AU64" s="2" t="s">
        <v>60</v>
      </c>
      <c r="AV64" s="95">
        <v>12.3</v>
      </c>
      <c r="AW64" s="8">
        <v>-1.110217233688273E-16</v>
      </c>
      <c r="AX64" s="42">
        <f t="shared" si="11"/>
        <v>-1.365567197436576E-15</v>
      </c>
    </row>
    <row r="65" spans="46:50" ht="11.25">
      <c r="AT65" s="2" t="s">
        <v>61</v>
      </c>
      <c r="AU65" s="2" t="s">
        <v>64</v>
      </c>
      <c r="AV65" s="95">
        <f>119-88.5</f>
        <v>30.5</v>
      </c>
      <c r="AW65" s="8">
        <v>0.9999999999706981</v>
      </c>
      <c r="AX65" s="42">
        <f t="shared" si="11"/>
        <v>30.499999999106294</v>
      </c>
    </row>
    <row r="66" spans="46:50" ht="11.25">
      <c r="AT66" s="2" t="s">
        <v>61</v>
      </c>
      <c r="AU66" s="2" t="s">
        <v>62</v>
      </c>
      <c r="AV66" s="95">
        <v>33.5</v>
      </c>
      <c r="AW66" s="8">
        <v>0.9999999999706982</v>
      </c>
      <c r="AX66" s="42">
        <f t="shared" si="11"/>
        <v>33.49999999901839</v>
      </c>
    </row>
    <row r="67" spans="46:50" ht="11.25">
      <c r="AT67" s="2" t="s">
        <v>74</v>
      </c>
      <c r="AU67" s="2" t="s">
        <v>64</v>
      </c>
      <c r="AV67" s="95">
        <f>230.3-119</f>
        <v>111.30000000000001</v>
      </c>
      <c r="AW67" s="8">
        <v>1</v>
      </c>
      <c r="AX67" s="42">
        <f t="shared" si="11"/>
        <v>111.30000000000001</v>
      </c>
    </row>
    <row r="68" spans="46:50" ht="11.25">
      <c r="AT68" s="2" t="s">
        <v>74</v>
      </c>
      <c r="AU68" s="2" t="s">
        <v>73</v>
      </c>
      <c r="AV68" s="95">
        <f>318.2-230.3</f>
        <v>87.89999999999998</v>
      </c>
      <c r="AW68" s="8">
        <v>0</v>
      </c>
      <c r="AX68" s="42">
        <f t="shared" si="11"/>
        <v>0</v>
      </c>
    </row>
    <row r="69" spans="46:50" ht="11.25">
      <c r="AT69" s="2" t="s">
        <v>74</v>
      </c>
      <c r="AU69" s="2" t="s">
        <v>65</v>
      </c>
      <c r="AV69" s="95">
        <f>31.9+38.9</f>
        <v>70.8</v>
      </c>
      <c r="AW69" s="8">
        <v>0.9999999999999993</v>
      </c>
      <c r="AX69" s="42">
        <f t="shared" si="11"/>
        <v>70.79999999999995</v>
      </c>
    </row>
    <row r="70" spans="46:50" ht="11.25">
      <c r="AT70" s="2" t="s">
        <v>75</v>
      </c>
      <c r="AU70" s="2" t="s">
        <v>73</v>
      </c>
      <c r="AV70" s="95">
        <f>323-318.2+354.3-308.4</f>
        <v>50.700000000000045</v>
      </c>
      <c r="AW70" s="8">
        <v>0.9999999999999998</v>
      </c>
      <c r="AX70" s="42">
        <f t="shared" si="11"/>
        <v>50.70000000000003</v>
      </c>
    </row>
    <row r="71" spans="46:50" ht="11.25">
      <c r="AT71" s="2" t="s">
        <v>75</v>
      </c>
      <c r="AU71" s="2" t="s">
        <v>76</v>
      </c>
      <c r="AV71" s="95">
        <f>308.4-223</f>
        <v>85.39999999999998</v>
      </c>
      <c r="AW71" s="8">
        <v>1.0000000000000007</v>
      </c>
      <c r="AX71" s="42">
        <f t="shared" si="11"/>
        <v>85.40000000000003</v>
      </c>
    </row>
    <row r="72" spans="46:50" ht="11.25">
      <c r="AT72" s="2" t="s">
        <v>75</v>
      </c>
      <c r="AU72" s="2" t="s">
        <v>70</v>
      </c>
      <c r="AV72" s="95">
        <v>81.9</v>
      </c>
      <c r="AW72" s="8">
        <v>-1.8041245081791274E-16</v>
      </c>
      <c r="AX72" s="42">
        <f t="shared" si="11"/>
        <v>-1.4775779721987056E-14</v>
      </c>
    </row>
    <row r="73" spans="46:50" ht="11.25">
      <c r="AT73" s="2" t="s">
        <v>69</v>
      </c>
      <c r="AU73" s="2" t="s">
        <v>73</v>
      </c>
      <c r="AV73" s="95">
        <f>154.3-86.7</f>
        <v>67.60000000000001</v>
      </c>
      <c r="AW73" s="8">
        <v>0.9999999999999996</v>
      </c>
      <c r="AX73" s="42">
        <f t="shared" si="11"/>
        <v>67.59999999999998</v>
      </c>
    </row>
    <row r="74" spans="46:50" ht="11.25">
      <c r="AT74" s="2" t="s">
        <v>69</v>
      </c>
      <c r="AU74" s="2" t="s">
        <v>70</v>
      </c>
      <c r="AV74" s="95">
        <f>51-6.4</f>
        <v>44.6</v>
      </c>
      <c r="AW74" s="8">
        <v>0.9999999999999998</v>
      </c>
      <c r="AX74" s="42">
        <f t="shared" si="11"/>
        <v>44.599999999999994</v>
      </c>
    </row>
    <row r="75" spans="46:50" ht="11.25">
      <c r="AT75" s="2" t="s">
        <v>69</v>
      </c>
      <c r="AU75" s="2" t="s">
        <v>68</v>
      </c>
      <c r="AV75" s="95">
        <v>6.4</v>
      </c>
      <c r="AW75" s="8">
        <v>2.775551647362404E-16</v>
      </c>
      <c r="AX75" s="42">
        <f t="shared" si="11"/>
        <v>1.7763530543119388E-15</v>
      </c>
    </row>
    <row r="76" spans="46:50" ht="11.25">
      <c r="AT76" s="2" t="s">
        <v>66</v>
      </c>
      <c r="AU76" s="2" t="s">
        <v>65</v>
      </c>
      <c r="AV76" s="95">
        <v>2.6</v>
      </c>
      <c r="AW76" s="8">
        <v>-4.996017234235514E-16</v>
      </c>
      <c r="AX76" s="42">
        <f t="shared" si="11"/>
        <v>-1.2989644809012336E-15</v>
      </c>
    </row>
    <row r="77" spans="46:50" ht="11.25">
      <c r="AT77" s="2" t="s">
        <v>66</v>
      </c>
      <c r="AU77" s="2" t="s">
        <v>68</v>
      </c>
      <c r="AV77" s="95">
        <v>71.8</v>
      </c>
      <c r="AW77" s="8">
        <v>1</v>
      </c>
      <c r="AX77" s="42">
        <f t="shared" si="11"/>
        <v>71.8</v>
      </c>
    </row>
    <row r="78" spans="46:50" ht="11.25">
      <c r="AT78" s="2" t="s">
        <v>68</v>
      </c>
      <c r="AU78" s="2" t="s">
        <v>67</v>
      </c>
      <c r="AV78" s="95">
        <f>80.3-26.6</f>
        <v>53.699999999999996</v>
      </c>
      <c r="AW78" s="8">
        <v>1</v>
      </c>
      <c r="AX78" s="42">
        <f t="shared" si="11"/>
        <v>53.699999999999996</v>
      </c>
    </row>
    <row r="79" spans="46:50" ht="11.25">
      <c r="AT79" s="2" t="s">
        <v>71</v>
      </c>
      <c r="AU79" s="2" t="s">
        <v>70</v>
      </c>
      <c r="AV79" s="95">
        <f>89.6-51</f>
        <v>38.599999999999994</v>
      </c>
      <c r="AW79" s="8">
        <v>1.0000000000000002</v>
      </c>
      <c r="AX79" s="42">
        <f t="shared" si="11"/>
        <v>38.6</v>
      </c>
    </row>
    <row r="80" spans="46:50" ht="11.25">
      <c r="AT80" s="2" t="s">
        <v>71</v>
      </c>
      <c r="AU80" s="2" t="s">
        <v>72</v>
      </c>
      <c r="AV80" s="95">
        <f>96.7-89.6</f>
        <v>7.1000000000000085</v>
      </c>
      <c r="AW80" s="8">
        <v>1.2430010727245441E-11</v>
      </c>
      <c r="AX80" s="42">
        <f t="shared" si="11"/>
        <v>8.825307616344274E-11</v>
      </c>
    </row>
    <row r="81" spans="46:50" ht="11.25">
      <c r="AT81" s="2" t="s">
        <v>76</v>
      </c>
      <c r="AU81" s="2" t="s">
        <v>72</v>
      </c>
      <c r="AV81" s="95">
        <v>108.1</v>
      </c>
      <c r="AW81" s="8">
        <v>1</v>
      </c>
      <c r="AX81" s="42">
        <f t="shared" si="11"/>
        <v>108.1</v>
      </c>
    </row>
    <row r="82" spans="46:50" ht="11.25">
      <c r="AT82" s="2" t="s">
        <v>76</v>
      </c>
      <c r="AU82" s="2" t="s">
        <v>77</v>
      </c>
      <c r="AV82" s="95">
        <f>514.5-454.3</f>
        <v>60.19999999999999</v>
      </c>
      <c r="AW82" s="8">
        <v>1.1102138435777628E-16</v>
      </c>
      <c r="AX82" s="42">
        <f t="shared" si="11"/>
        <v>6.683487338338131E-15</v>
      </c>
    </row>
    <row r="83" spans="46:50" ht="11.25">
      <c r="AT83" s="2" t="s">
        <v>78</v>
      </c>
      <c r="AU83" s="2" t="s">
        <v>30</v>
      </c>
      <c r="AV83" s="95">
        <v>46</v>
      </c>
      <c r="AW83" s="8">
        <v>1</v>
      </c>
      <c r="AX83" s="42">
        <f t="shared" si="11"/>
        <v>46</v>
      </c>
    </row>
    <row r="84" spans="46:50" ht="11.25">
      <c r="AT84" s="2" t="s">
        <v>78</v>
      </c>
      <c r="AU84" s="2" t="s">
        <v>77</v>
      </c>
      <c r="AV84" s="95">
        <f>599.6-514.5</f>
        <v>85.10000000000002</v>
      </c>
      <c r="AW84" s="8">
        <v>1.0000000000000002</v>
      </c>
      <c r="AX84" s="42">
        <f t="shared" si="11"/>
        <v>85.10000000000004</v>
      </c>
    </row>
    <row r="85" spans="46:50" ht="11.25">
      <c r="AT85" s="5" t="s">
        <v>52</v>
      </c>
      <c r="AU85" s="5" t="s">
        <v>58</v>
      </c>
      <c r="AV85" s="95">
        <v>29.4</v>
      </c>
      <c r="AW85" s="8">
        <v>0.9999999999999993</v>
      </c>
      <c r="AX85" s="42">
        <f t="shared" si="11"/>
        <v>29.399999999999977</v>
      </c>
    </row>
    <row r="86" spans="46:50" ht="11.25">
      <c r="AT86" s="6"/>
      <c r="AU86" s="6"/>
      <c r="AV86" s="17"/>
      <c r="AW86" s="6"/>
      <c r="AX86" s="17"/>
    </row>
    <row r="87" spans="49:50" ht="11.25">
      <c r="AW87" s="2" t="s">
        <v>154</v>
      </c>
      <c r="AX87" s="42">
        <f>SUM(AX5:AX86)</f>
        <v>3294.4999999946117</v>
      </c>
    </row>
  </sheetData>
  <sheetProtection/>
  <mergeCells count="1">
    <mergeCell ref="J23:K23"/>
  </mergeCells>
  <printOptions/>
  <pageMargins left="0.787" right="0.787" top="0.984" bottom="0.984" header="0.512" footer="0.51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O277"/>
  <sheetViews>
    <sheetView zoomScalePageLayoutView="0" workbookViewId="0" topLeftCell="T16">
      <selection activeCell="AF50" sqref="AF50"/>
    </sheetView>
  </sheetViews>
  <sheetFormatPr defaultColWidth="9.00390625" defaultRowHeight="13.5"/>
  <cols>
    <col min="1" max="30" width="3.75390625" style="1" customWidth="1"/>
    <col min="31" max="31" width="4.125" style="1" customWidth="1"/>
    <col min="32" max="45" width="3.75390625" style="1" customWidth="1"/>
    <col min="46" max="46" width="7.00390625" style="10" customWidth="1"/>
    <col min="47" max="47" width="3.75390625" style="1" customWidth="1"/>
    <col min="48" max="48" width="7.00390625" style="10" customWidth="1"/>
    <col min="49" max="93" width="3.75390625" style="1" customWidth="1"/>
    <col min="94" max="16384" width="9.00390625" style="1" customWidth="1"/>
  </cols>
  <sheetData>
    <row r="1" spans="44:67" ht="12" thickBot="1">
      <c r="AR1" s="72" t="s">
        <v>185</v>
      </c>
      <c r="AS1" s="72"/>
      <c r="AT1" s="45" t="s">
        <v>186</v>
      </c>
      <c r="AU1" s="45" t="s">
        <v>187</v>
      </c>
      <c r="AV1" s="45" t="s">
        <v>188</v>
      </c>
      <c r="BB1" s="40" t="s">
        <v>189</v>
      </c>
      <c r="BC1" s="64"/>
      <c r="BD1" s="64"/>
      <c r="BE1" s="64"/>
      <c r="BF1" s="64"/>
      <c r="BG1" s="64"/>
      <c r="BH1" s="64"/>
      <c r="BI1" s="2" t="s">
        <v>190</v>
      </c>
      <c r="BJ1" s="64" t="s">
        <v>191</v>
      </c>
      <c r="BK1" s="64"/>
      <c r="BL1" s="64"/>
      <c r="BM1" s="64"/>
      <c r="BN1" s="64"/>
      <c r="BO1" s="41"/>
    </row>
    <row r="2" spans="27:67" ht="11.25"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R2" s="49" t="s">
        <v>106</v>
      </c>
      <c r="AS2" s="50" t="s">
        <v>139</v>
      </c>
      <c r="AT2" s="97">
        <f>245.7-223.7</f>
        <v>22</v>
      </c>
      <c r="AU2" s="73">
        <v>0</v>
      </c>
      <c r="AV2" s="51">
        <f>AT2*AU2</f>
        <v>0</v>
      </c>
      <c r="BB2" s="4" t="s">
        <v>123</v>
      </c>
      <c r="BC2" s="58">
        <f>$AG$5</f>
        <v>0.9999999999999999</v>
      </c>
      <c r="BD2" s="58">
        <f>$AF$7</f>
        <v>0.9999999999800147</v>
      </c>
      <c r="BE2" s="58">
        <f>$AI$9</f>
        <v>1.3214096483693538E-11</v>
      </c>
      <c r="BF2" s="58"/>
      <c r="BG2" s="58"/>
      <c r="BH2" s="58"/>
      <c r="BI2" s="45">
        <f aca="true" t="shared" si="0" ref="BI2:BI33">SUM(BC2:BH2)</f>
        <v>1.9999999999932287</v>
      </c>
      <c r="BJ2" s="58">
        <f>BI2/2</f>
        <v>0.9999999999966144</v>
      </c>
      <c r="BK2" s="58">
        <f>BI2/2</f>
        <v>0.9999999999966144</v>
      </c>
      <c r="BL2" s="58">
        <f>BI2/2</f>
        <v>0.9999999999966144</v>
      </c>
      <c r="BM2" s="58"/>
      <c r="BN2" s="58"/>
      <c r="BO2" s="59"/>
    </row>
    <row r="3" spans="27:67" ht="11.25"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R3" s="52" t="s">
        <v>104</v>
      </c>
      <c r="AS3" s="2" t="s">
        <v>123</v>
      </c>
      <c r="AT3" s="95">
        <f>348.9-215.2</f>
        <v>133.7</v>
      </c>
      <c r="AU3" s="5">
        <v>0.9999999999999999</v>
      </c>
      <c r="AV3" s="53">
        <f>AT3*AU3</f>
        <v>133.69999999999996</v>
      </c>
      <c r="BB3" s="4" t="s">
        <v>99</v>
      </c>
      <c r="BC3" s="3">
        <f>$AE$7</f>
        <v>0</v>
      </c>
      <c r="BD3" s="3">
        <f>$AF$7</f>
        <v>0.9999999999800147</v>
      </c>
      <c r="BE3" s="3">
        <f>$AE$10</f>
        <v>1.221245333666343E-15</v>
      </c>
      <c r="BF3" s="3">
        <f>$AB$8</f>
        <v>0.9999999999754606</v>
      </c>
      <c r="BG3" s="3"/>
      <c r="BH3" s="3"/>
      <c r="BI3" s="65">
        <f t="shared" si="0"/>
        <v>1.9999999999554765</v>
      </c>
      <c r="BJ3" s="3">
        <f aca="true" t="shared" si="1" ref="BJ3:BJ56">BI3/2</f>
        <v>0.9999999999777383</v>
      </c>
      <c r="BK3" s="3">
        <f aca="true" t="shared" si="2" ref="BK3:BK56">BI3/2</f>
        <v>0.9999999999777383</v>
      </c>
      <c r="BL3" s="3">
        <f aca="true" t="shared" si="3" ref="BL3:BL56">BI3/2</f>
        <v>0.9999999999777383</v>
      </c>
      <c r="BM3" s="3"/>
      <c r="BN3" s="3"/>
      <c r="BO3" s="61"/>
    </row>
    <row r="4" spans="15:67" ht="12" thickBot="1">
      <c r="O4" s="4" t="s">
        <v>139</v>
      </c>
      <c r="P4" s="7">
        <f>AU2</f>
        <v>0</v>
      </c>
      <c r="Q4" s="4" t="s">
        <v>106</v>
      </c>
      <c r="AG4" s="4" t="s">
        <v>104</v>
      </c>
      <c r="AR4" s="54" t="s">
        <v>101</v>
      </c>
      <c r="AS4" s="55" t="s">
        <v>99</v>
      </c>
      <c r="AT4" s="98">
        <f>512.5-466.4</f>
        <v>46.10000000000002</v>
      </c>
      <c r="AU4" s="74">
        <v>0</v>
      </c>
      <c r="AV4" s="56">
        <f>AT4*AU4</f>
        <v>0</v>
      </c>
      <c r="BB4" s="4" t="s">
        <v>145</v>
      </c>
      <c r="BC4" s="3">
        <f>$AE$10</f>
        <v>1.221245333666343E-15</v>
      </c>
      <c r="BD4" s="3">
        <f>$AH$12</f>
        <v>1</v>
      </c>
      <c r="BE4" s="3">
        <f>$AE$13</f>
        <v>1</v>
      </c>
      <c r="BF4" s="3"/>
      <c r="BG4" s="3"/>
      <c r="BH4" s="3"/>
      <c r="BI4" s="65">
        <f t="shared" si="0"/>
        <v>2.0000000000000013</v>
      </c>
      <c r="BJ4" s="3">
        <f t="shared" si="1"/>
        <v>1.0000000000000007</v>
      </c>
      <c r="BK4" s="3">
        <f t="shared" si="2"/>
        <v>1.0000000000000007</v>
      </c>
      <c r="BL4" s="3">
        <f t="shared" si="3"/>
        <v>1.0000000000000007</v>
      </c>
      <c r="BM4" s="3"/>
      <c r="BN4" s="3"/>
      <c r="BO4" s="61"/>
    </row>
    <row r="5" spans="14:67" ht="11.25">
      <c r="N5" s="1">
        <f>AU57</f>
        <v>0.9999999999912265</v>
      </c>
      <c r="O5" s="1">
        <f>AU61</f>
        <v>0.9999999999755732</v>
      </c>
      <c r="AG5" s="7">
        <f>AU3</f>
        <v>0.9999999999999999</v>
      </c>
      <c r="AR5" s="46" t="s">
        <v>138</v>
      </c>
      <c r="AS5" s="46" t="s">
        <v>135</v>
      </c>
      <c r="AT5" s="99">
        <f>13.8+162.4-43+70.4</f>
        <v>203.60000000000002</v>
      </c>
      <c r="AU5" s="71">
        <v>0.9999999999999997</v>
      </c>
      <c r="AV5" s="47">
        <f aca="true" t="shared" si="4" ref="AV5:AV36">AT5*AU5</f>
        <v>203.59999999999997</v>
      </c>
      <c r="BB5" s="4" t="s">
        <v>144</v>
      </c>
      <c r="BC5" s="3">
        <f>$AH$12</f>
        <v>1</v>
      </c>
      <c r="BD5" s="3">
        <f>$AI$9</f>
        <v>1.3214096483693538E-11</v>
      </c>
      <c r="BE5" s="3">
        <f>$AK$13</f>
        <v>0.9999999999800147</v>
      </c>
      <c r="BF5" s="3"/>
      <c r="BG5" s="3"/>
      <c r="BH5" s="3"/>
      <c r="BI5" s="65">
        <f t="shared" si="0"/>
        <v>1.9999999999932287</v>
      </c>
      <c r="BJ5" s="3">
        <f t="shared" si="1"/>
        <v>0.9999999999966144</v>
      </c>
      <c r="BK5" s="3">
        <f t="shared" si="2"/>
        <v>0.9999999999966144</v>
      </c>
      <c r="BL5" s="3">
        <f t="shared" si="3"/>
        <v>0.9999999999966144</v>
      </c>
      <c r="BM5" s="3"/>
      <c r="BN5" s="3"/>
      <c r="BO5" s="61"/>
    </row>
    <row r="6" spans="13:67" ht="11.25">
      <c r="M6" s="4" t="s">
        <v>146</v>
      </c>
      <c r="N6" s="1">
        <f>AU82</f>
        <v>0</v>
      </c>
      <c r="O6" s="4" t="s">
        <v>98</v>
      </c>
      <c r="AC6" s="6"/>
      <c r="AE6" s="4" t="s">
        <v>101</v>
      </c>
      <c r="AG6" s="4" t="s">
        <v>123</v>
      </c>
      <c r="AR6" s="2" t="s">
        <v>9</v>
      </c>
      <c r="AS6" s="2" t="s">
        <v>44</v>
      </c>
      <c r="AT6" s="100">
        <v>195.7</v>
      </c>
      <c r="AU6" s="4">
        <v>1</v>
      </c>
      <c r="AV6" s="42">
        <f t="shared" si="4"/>
        <v>195.7</v>
      </c>
      <c r="BB6" s="4" t="s">
        <v>91</v>
      </c>
      <c r="BC6" s="3">
        <f>$AH$14</f>
        <v>1.5543566433962042E-11</v>
      </c>
      <c r="BD6" s="3">
        <f>$AE$13</f>
        <v>1</v>
      </c>
      <c r="BE6" s="3">
        <f>$Y$14</f>
        <v>1</v>
      </c>
      <c r="BF6" s="3">
        <f>$AE$15</f>
        <v>0</v>
      </c>
      <c r="BG6" s="3"/>
      <c r="BH6" s="3"/>
      <c r="BI6" s="65">
        <f t="shared" si="0"/>
        <v>2.0000000000155436</v>
      </c>
      <c r="BJ6" s="3">
        <f t="shared" si="1"/>
        <v>1.0000000000077718</v>
      </c>
      <c r="BK6" s="3">
        <f t="shared" si="2"/>
        <v>1.0000000000077718</v>
      </c>
      <c r="BL6" s="3">
        <f t="shared" si="3"/>
        <v>1.0000000000077718</v>
      </c>
      <c r="BM6" s="3"/>
      <c r="BN6" s="3"/>
      <c r="BO6" s="61"/>
    </row>
    <row r="7" spans="12:67" ht="11.25">
      <c r="L7" s="1">
        <f>AU50</f>
        <v>4.002687070681077E-12</v>
      </c>
      <c r="M7" s="1">
        <f>AU39</f>
        <v>1</v>
      </c>
      <c r="O7" s="1">
        <f>AU64</f>
        <v>0.9999999999933378</v>
      </c>
      <c r="S7" s="9">
        <f>AU12</f>
        <v>3.108924229193191E-11</v>
      </c>
      <c r="AE7" s="7">
        <f>AU4</f>
        <v>0</v>
      </c>
      <c r="AF7" s="1">
        <f>AU21</f>
        <v>0.9999999999800147</v>
      </c>
      <c r="AR7" s="2" t="s">
        <v>145</v>
      </c>
      <c r="AS7" s="2" t="s">
        <v>91</v>
      </c>
      <c r="AT7" s="95">
        <f>221.8-80.6</f>
        <v>141.20000000000002</v>
      </c>
      <c r="AU7" s="4">
        <v>1</v>
      </c>
      <c r="AV7" s="42">
        <f t="shared" si="4"/>
        <v>141.20000000000002</v>
      </c>
      <c r="BB7" s="4" t="s">
        <v>126</v>
      </c>
      <c r="BC7" s="3">
        <f>$AK$13</f>
        <v>0.9999999999800147</v>
      </c>
      <c r="BD7" s="3">
        <f>$AK$18</f>
        <v>1</v>
      </c>
      <c r="BE7" s="3">
        <f>$AH$14</f>
        <v>1.5543566433962042E-11</v>
      </c>
      <c r="BF7" s="3"/>
      <c r="BG7" s="3"/>
      <c r="BH7" s="3"/>
      <c r="BI7" s="65">
        <f t="shared" si="0"/>
        <v>1.9999999999955582</v>
      </c>
      <c r="BJ7" s="3">
        <f t="shared" si="1"/>
        <v>0.9999999999977791</v>
      </c>
      <c r="BK7" s="3">
        <f t="shared" si="2"/>
        <v>0.9999999999977791</v>
      </c>
      <c r="BL7" s="3">
        <f t="shared" si="3"/>
        <v>0.9999999999977791</v>
      </c>
      <c r="BM7" s="3"/>
      <c r="BN7" s="3"/>
      <c r="BO7" s="61"/>
    </row>
    <row r="8" spans="11:67" ht="11.25">
      <c r="K8" s="4" t="s">
        <v>140</v>
      </c>
      <c r="L8" s="1">
        <f>AU100</f>
        <v>0.9999999999867853</v>
      </c>
      <c r="M8" s="4" t="s">
        <v>142</v>
      </c>
      <c r="N8" s="1">
        <f>AU123</f>
        <v>6.6622263260917826E-12</v>
      </c>
      <c r="O8" s="4" t="s">
        <v>141</v>
      </c>
      <c r="Y8" s="4" t="s">
        <v>152</v>
      </c>
      <c r="AB8" s="1">
        <f>AU26</f>
        <v>0.9999999999754606</v>
      </c>
      <c r="AE8" s="4" t="s">
        <v>99</v>
      </c>
      <c r="AR8" s="2" t="s">
        <v>45</v>
      </c>
      <c r="AS8" s="2" t="s">
        <v>150</v>
      </c>
      <c r="AT8" s="95">
        <f>214.6-76</f>
        <v>138.6</v>
      </c>
      <c r="AU8" s="4">
        <v>1</v>
      </c>
      <c r="AV8" s="42">
        <f t="shared" si="4"/>
        <v>138.6</v>
      </c>
      <c r="BB8" s="4" t="s">
        <v>87</v>
      </c>
      <c r="BC8" s="3">
        <f>$AE$15</f>
        <v>0</v>
      </c>
      <c r="BD8" s="3">
        <f>$Y$16</f>
        <v>0.9999999999999967</v>
      </c>
      <c r="BE8" s="3">
        <f>$Y$17</f>
        <v>1</v>
      </c>
      <c r="BF8" s="3">
        <f>$AD$17</f>
        <v>1.831867926585937E-15</v>
      </c>
      <c r="BG8" s="3">
        <f>$AE$17</f>
        <v>1.5543122626607523E-15</v>
      </c>
      <c r="BH8" s="3"/>
      <c r="BI8" s="65">
        <f t="shared" si="0"/>
        <v>2</v>
      </c>
      <c r="BJ8" s="3">
        <f t="shared" si="1"/>
        <v>1</v>
      </c>
      <c r="BK8" s="3">
        <f t="shared" si="2"/>
        <v>1</v>
      </c>
      <c r="BL8" s="3">
        <f t="shared" si="3"/>
        <v>1</v>
      </c>
      <c r="BM8" s="3"/>
      <c r="BN8" s="3"/>
      <c r="BO8" s="61"/>
    </row>
    <row r="9" spans="11:67" ht="11.25">
      <c r="K9" s="1">
        <f>AU37</f>
        <v>1</v>
      </c>
      <c r="M9" s="1">
        <f>AU65</f>
        <v>4.111488927094342E-12</v>
      </c>
      <c r="N9" s="1">
        <f>AU66</f>
        <v>0.9999999999999999</v>
      </c>
      <c r="AI9" s="9">
        <f>AU17</f>
        <v>1.3214096483693538E-11</v>
      </c>
      <c r="AR9" s="2" t="s">
        <v>145</v>
      </c>
      <c r="AS9" s="2" t="s">
        <v>144</v>
      </c>
      <c r="AT9" s="95">
        <v>137.5</v>
      </c>
      <c r="AU9" s="4">
        <v>1</v>
      </c>
      <c r="AV9" s="42">
        <f t="shared" si="4"/>
        <v>137.5</v>
      </c>
      <c r="BB9" s="4" t="s">
        <v>85</v>
      </c>
      <c r="BC9" s="3">
        <f>$AE$17</f>
        <v>1.5543122626607523E-15</v>
      </c>
      <c r="BD9" s="3">
        <f>$AD$18</f>
        <v>0</v>
      </c>
      <c r="BE9" s="3">
        <f>$AG$20</f>
        <v>1</v>
      </c>
      <c r="BF9" s="3">
        <f>$AE$19</f>
        <v>0.9999999999999988</v>
      </c>
      <c r="BG9" s="3"/>
      <c r="BH9" s="3"/>
      <c r="BI9" s="65">
        <f t="shared" si="0"/>
        <v>2.0000000000000004</v>
      </c>
      <c r="BJ9" s="3">
        <f t="shared" si="1"/>
        <v>1.0000000000000002</v>
      </c>
      <c r="BK9" s="3">
        <f t="shared" si="2"/>
        <v>1.0000000000000002</v>
      </c>
      <c r="BL9" s="3">
        <f t="shared" si="3"/>
        <v>1.0000000000000002</v>
      </c>
      <c r="BM9" s="3">
        <f>BI9/2</f>
        <v>1.0000000000000002</v>
      </c>
      <c r="BN9" s="3"/>
      <c r="BO9" s="61"/>
    </row>
    <row r="10" spans="11:67" ht="11.25">
      <c r="K10" s="4" t="s">
        <v>97</v>
      </c>
      <c r="M10" s="4" t="s">
        <v>143</v>
      </c>
      <c r="T10" s="1">
        <f>AU10</f>
        <v>0.9999999999934496</v>
      </c>
      <c r="AE10" s="9">
        <f>AU119</f>
        <v>1.221245333666343E-15</v>
      </c>
      <c r="AR10" s="2" t="s">
        <v>94</v>
      </c>
      <c r="AS10" s="2" t="s">
        <v>152</v>
      </c>
      <c r="AT10" s="95">
        <v>135.2</v>
      </c>
      <c r="AU10" s="4">
        <v>0.9999999999934496</v>
      </c>
      <c r="AV10" s="42">
        <f t="shared" si="4"/>
        <v>135.19999999911437</v>
      </c>
      <c r="BB10" s="4" t="s">
        <v>84</v>
      </c>
      <c r="BC10" s="3">
        <f>$AE$19</f>
        <v>0.9999999999999988</v>
      </c>
      <c r="BD10" s="3">
        <f>$AF$22</f>
        <v>0</v>
      </c>
      <c r="BE10" s="3">
        <f>$AE$21</f>
        <v>5.550895619823165E-17</v>
      </c>
      <c r="BF10" s="3">
        <f>$AD$21</f>
        <v>1.1102208974015099E-15</v>
      </c>
      <c r="BG10" s="3">
        <f>$AD$19</f>
        <v>1</v>
      </c>
      <c r="BH10" s="3"/>
      <c r="BI10" s="65">
        <f t="shared" si="0"/>
        <v>2</v>
      </c>
      <c r="BJ10" s="3">
        <f t="shared" si="1"/>
        <v>1</v>
      </c>
      <c r="BK10" s="3">
        <f t="shared" si="2"/>
        <v>1</v>
      </c>
      <c r="BL10" s="3">
        <f t="shared" si="3"/>
        <v>1</v>
      </c>
      <c r="BM10" s="3"/>
      <c r="BN10" s="3"/>
      <c r="BO10" s="61"/>
    </row>
    <row r="11" spans="9:67" ht="11.25">
      <c r="I11" s="9">
        <f>AU45</f>
        <v>4.4408417003765603E-16</v>
      </c>
      <c r="L11" s="9">
        <f>AU51</f>
        <v>0.9999999999999992</v>
      </c>
      <c r="M11" s="1">
        <f>AU130</f>
        <v>0.9999999999934478</v>
      </c>
      <c r="AR11" s="2" t="s">
        <v>13</v>
      </c>
      <c r="AS11" s="2" t="s">
        <v>9</v>
      </c>
      <c r="AT11" s="95">
        <f>293.6-180.2</f>
        <v>113.40000000000003</v>
      </c>
      <c r="AU11" s="4">
        <v>0.99999999999889</v>
      </c>
      <c r="AV11" s="42">
        <f t="shared" si="4"/>
        <v>113.39999999987415</v>
      </c>
      <c r="BB11" s="4" t="s">
        <v>35</v>
      </c>
      <c r="BC11" s="3">
        <f>$AE$21</f>
        <v>5.550895619823165E-17</v>
      </c>
      <c r="BD11" s="3">
        <f>$AD$22</f>
        <v>0.9999999999999999</v>
      </c>
      <c r="BE11" s="3">
        <f>$AE$23</f>
        <v>1</v>
      </c>
      <c r="BF11" s="3"/>
      <c r="BG11" s="3"/>
      <c r="BH11" s="3"/>
      <c r="BI11" s="65">
        <f t="shared" si="0"/>
        <v>2</v>
      </c>
      <c r="BJ11" s="3">
        <f t="shared" si="1"/>
        <v>1</v>
      </c>
      <c r="BK11" s="3">
        <f t="shared" si="2"/>
        <v>1</v>
      </c>
      <c r="BL11" s="3">
        <f t="shared" si="3"/>
        <v>1</v>
      </c>
      <c r="BM11" s="3"/>
      <c r="BN11" s="3"/>
      <c r="BO11" s="61"/>
    </row>
    <row r="12" spans="7:67" ht="11.25">
      <c r="G12" s="4" t="s">
        <v>83</v>
      </c>
      <c r="M12" s="4" t="s">
        <v>96</v>
      </c>
      <c r="N12" s="9">
        <f>AU73</f>
        <v>0</v>
      </c>
      <c r="O12" s="4" t="s">
        <v>93</v>
      </c>
      <c r="P12" s="1">
        <f>AU91</f>
        <v>0.9999999999934492</v>
      </c>
      <c r="Q12" s="4" t="s">
        <v>153</v>
      </c>
      <c r="AE12" s="4" t="s">
        <v>145</v>
      </c>
      <c r="AH12" s="1">
        <f>AU9</f>
        <v>1</v>
      </c>
      <c r="AK12" s="4" t="s">
        <v>144</v>
      </c>
      <c r="AR12" s="5" t="s">
        <v>152</v>
      </c>
      <c r="AS12" s="5" t="s">
        <v>98</v>
      </c>
      <c r="AT12" s="95">
        <v>111</v>
      </c>
      <c r="AU12" s="4">
        <v>3.108924229193191E-11</v>
      </c>
      <c r="AV12" s="42">
        <f t="shared" si="4"/>
        <v>3.450905894404442E-09</v>
      </c>
      <c r="BB12" s="4" t="s">
        <v>120</v>
      </c>
      <c r="BC12" s="3">
        <f>$AE$23</f>
        <v>1</v>
      </c>
      <c r="BD12" s="3">
        <f>$AF$22</f>
        <v>0</v>
      </c>
      <c r="BE12" s="3">
        <f>$AH$24</f>
        <v>1.887378405691408E-15</v>
      </c>
      <c r="BF12" s="3">
        <f>$AF$25</f>
        <v>0.9999999999999982</v>
      </c>
      <c r="BG12" s="3"/>
      <c r="BH12" s="3"/>
      <c r="BI12" s="65">
        <f t="shared" si="0"/>
        <v>2</v>
      </c>
      <c r="BJ12" s="3">
        <f t="shared" si="1"/>
        <v>1</v>
      </c>
      <c r="BK12" s="3">
        <f t="shared" si="2"/>
        <v>1</v>
      </c>
      <c r="BL12" s="3">
        <f t="shared" si="3"/>
        <v>1</v>
      </c>
      <c r="BM12" s="3">
        <f>BI12/2</f>
        <v>1</v>
      </c>
      <c r="BN12" s="3"/>
      <c r="BO12" s="61"/>
    </row>
    <row r="13" spans="7:67" ht="11.25">
      <c r="G13" s="1">
        <f>AU27</f>
        <v>1</v>
      </c>
      <c r="K13" s="1">
        <f>AU15</f>
        <v>1</v>
      </c>
      <c r="Q13" s="1">
        <f>AU42</f>
        <v>-8.769318604606724E-12</v>
      </c>
      <c r="AE13" s="1">
        <f>AU7</f>
        <v>1</v>
      </c>
      <c r="AK13" s="1">
        <f>AU79</f>
        <v>0.9999999999800147</v>
      </c>
      <c r="AR13" s="2" t="s">
        <v>79</v>
      </c>
      <c r="AS13" s="2" t="s">
        <v>80</v>
      </c>
      <c r="AT13" s="95">
        <v>105.4</v>
      </c>
      <c r="AU13" s="4">
        <v>0.9999999999999999</v>
      </c>
      <c r="AV13" s="42">
        <f t="shared" si="4"/>
        <v>105.39999999999999</v>
      </c>
      <c r="BB13" s="4" t="s">
        <v>129</v>
      </c>
      <c r="BC13" s="3">
        <f>$AF$25</f>
        <v>0.9999999999999982</v>
      </c>
      <c r="BD13" s="3">
        <f>$AH$26</f>
        <v>1.693091239385E-15</v>
      </c>
      <c r="BE13" s="3">
        <f>$AG$27</f>
        <v>0.9999999999999998</v>
      </c>
      <c r="BF13" s="3">
        <f>$AF$27</f>
        <v>0</v>
      </c>
      <c r="BG13" s="3"/>
      <c r="BH13" s="3"/>
      <c r="BI13" s="65">
        <f t="shared" si="0"/>
        <v>1.9999999999999996</v>
      </c>
      <c r="BJ13" s="3">
        <f t="shared" si="1"/>
        <v>0.9999999999999998</v>
      </c>
      <c r="BK13" s="3">
        <f t="shared" si="2"/>
        <v>0.9999999999999998</v>
      </c>
      <c r="BL13" s="3">
        <f t="shared" si="3"/>
        <v>0.9999999999999998</v>
      </c>
      <c r="BM13" s="3"/>
      <c r="BN13" s="3"/>
      <c r="BO13" s="61"/>
    </row>
    <row r="14" spans="6:67" ht="11.25">
      <c r="F14" s="1">
        <f>AU41</f>
        <v>1</v>
      </c>
      <c r="G14" s="4" t="s">
        <v>95</v>
      </c>
      <c r="Q14" s="4" t="s">
        <v>92</v>
      </c>
      <c r="R14" s="1">
        <f>AU19</f>
        <v>1</v>
      </c>
      <c r="S14" s="4" t="s">
        <v>90</v>
      </c>
      <c r="Y14" s="1">
        <f>AU22</f>
        <v>1</v>
      </c>
      <c r="AE14" s="4" t="s">
        <v>91</v>
      </c>
      <c r="AH14" s="1">
        <f>AU36</f>
        <v>1.5543566433962042E-11</v>
      </c>
      <c r="AK14" s="4" t="s">
        <v>126</v>
      </c>
      <c r="AR14" s="2" t="s">
        <v>138</v>
      </c>
      <c r="AS14" s="2" t="s">
        <v>136</v>
      </c>
      <c r="AT14" s="95">
        <f>117.3-76.9+65.5-3.2</f>
        <v>102.69999999999999</v>
      </c>
      <c r="AU14" s="4">
        <v>0.9999999999999996</v>
      </c>
      <c r="AV14" s="42">
        <f t="shared" si="4"/>
        <v>102.69999999999995</v>
      </c>
      <c r="BB14" s="4" t="s">
        <v>127</v>
      </c>
      <c r="BC14" s="3">
        <f>$AF$28</f>
        <v>0.9999999999999997</v>
      </c>
      <c r="BD14" s="3">
        <f>$AG$27</f>
        <v>0.9999999999999998</v>
      </c>
      <c r="BE14" s="3">
        <f>$AG$29</f>
        <v>5.273570634776946E-16</v>
      </c>
      <c r="BF14" s="3"/>
      <c r="BG14" s="3"/>
      <c r="BH14" s="3"/>
      <c r="BI14" s="65">
        <f t="shared" si="0"/>
        <v>2</v>
      </c>
      <c r="BJ14" s="3">
        <f t="shared" si="1"/>
        <v>1</v>
      </c>
      <c r="BK14" s="3">
        <f t="shared" si="2"/>
        <v>1</v>
      </c>
      <c r="BL14" s="3">
        <f t="shared" si="3"/>
        <v>1</v>
      </c>
      <c r="BM14" s="3"/>
      <c r="BN14" s="3"/>
      <c r="BO14" s="61"/>
    </row>
    <row r="15" spans="7:67" ht="11.25">
      <c r="G15" s="1">
        <f>AU89</f>
        <v>7.771561172389776E-16</v>
      </c>
      <c r="R15" s="1">
        <f>AU16</f>
        <v>1</v>
      </c>
      <c r="S15" s="1">
        <f>AU106</f>
        <v>1.1102230246251565E-16</v>
      </c>
      <c r="U15" s="1">
        <f>AU38</f>
        <v>3.1918912110252435E-15</v>
      </c>
      <c r="AE15" s="1">
        <f>AU35</f>
        <v>0</v>
      </c>
      <c r="AR15" s="2" t="s">
        <v>93</v>
      </c>
      <c r="AS15" s="2" t="s">
        <v>95</v>
      </c>
      <c r="AT15" s="95">
        <v>96.7</v>
      </c>
      <c r="AU15" s="4">
        <v>1</v>
      </c>
      <c r="AV15" s="42">
        <f t="shared" si="4"/>
        <v>96.7</v>
      </c>
      <c r="BB15" s="4" t="s">
        <v>0</v>
      </c>
      <c r="BC15" s="3">
        <f>$AE$31</f>
        <v>0</v>
      </c>
      <c r="BD15" s="3">
        <f>$AG$29</f>
        <v>5.273570634776946E-16</v>
      </c>
      <c r="BE15" s="3">
        <f>$AH$29</f>
        <v>1.0000000000000002</v>
      </c>
      <c r="BF15" s="3">
        <f>$AH$28</f>
        <v>0.9999999999999989</v>
      </c>
      <c r="BG15" s="3"/>
      <c r="BH15" s="3"/>
      <c r="BI15" s="65">
        <f t="shared" si="0"/>
        <v>1.9999999999999996</v>
      </c>
      <c r="BJ15" s="3">
        <f t="shared" si="1"/>
        <v>0.9999999999999998</v>
      </c>
      <c r="BK15" s="3">
        <f t="shared" si="2"/>
        <v>0.9999999999999998</v>
      </c>
      <c r="BL15" s="3">
        <f t="shared" si="3"/>
        <v>0.9999999999999998</v>
      </c>
      <c r="BM15" s="3"/>
      <c r="BN15" s="3"/>
      <c r="BO15" s="61"/>
    </row>
    <row r="16" spans="1:67" ht="11.25">
      <c r="A16" s="4" t="s">
        <v>48</v>
      </c>
      <c r="C16" s="7">
        <f>AU141</f>
        <v>0</v>
      </c>
      <c r="E16" s="4" t="s">
        <v>80</v>
      </c>
      <c r="G16" s="4" t="s">
        <v>82</v>
      </c>
      <c r="H16" s="1">
        <f>AU33</f>
        <v>1</v>
      </c>
      <c r="I16" s="4" t="s">
        <v>81</v>
      </c>
      <c r="N16" s="1">
        <f>AU32</f>
        <v>0.9999999999999961</v>
      </c>
      <c r="S16" s="4" t="s">
        <v>88</v>
      </c>
      <c r="T16" s="1">
        <f>AU124</f>
        <v>4.996005377999831E-16</v>
      </c>
      <c r="U16" s="4" t="s">
        <v>89</v>
      </c>
      <c r="V16" s="1">
        <f>AU47</f>
        <v>0.9999999999999998</v>
      </c>
      <c r="W16" s="4" t="s">
        <v>162</v>
      </c>
      <c r="Y16" s="1">
        <f>AU48</f>
        <v>0.9999999999999967</v>
      </c>
      <c r="AE16" s="4" t="s">
        <v>87</v>
      </c>
      <c r="AR16" s="2" t="s">
        <v>92</v>
      </c>
      <c r="AS16" s="2" t="s">
        <v>88</v>
      </c>
      <c r="AT16" s="95">
        <f>199.2-105</f>
        <v>94.19999999999999</v>
      </c>
      <c r="AU16" s="4">
        <v>1</v>
      </c>
      <c r="AV16" s="42">
        <f t="shared" si="4"/>
        <v>94.19999999999999</v>
      </c>
      <c r="BB16" s="4" t="s">
        <v>125</v>
      </c>
      <c r="BC16" s="3">
        <f>$AK$18</f>
        <v>1</v>
      </c>
      <c r="BD16" s="3">
        <f>$AL$22</f>
        <v>2.4343769503636054E-15</v>
      </c>
      <c r="BE16" s="3">
        <f>$AK$23</f>
        <v>0.9999999999999976</v>
      </c>
      <c r="BF16" s="3"/>
      <c r="BG16" s="3"/>
      <c r="BH16" s="3"/>
      <c r="BI16" s="65">
        <f t="shared" si="0"/>
        <v>2</v>
      </c>
      <c r="BJ16" s="3">
        <f t="shared" si="1"/>
        <v>1</v>
      </c>
      <c r="BK16" s="3">
        <f t="shared" si="2"/>
        <v>1</v>
      </c>
      <c r="BL16" s="3">
        <f t="shared" si="3"/>
        <v>1</v>
      </c>
      <c r="BM16" s="3"/>
      <c r="BN16" s="3"/>
      <c r="BO16" s="61"/>
    </row>
    <row r="17" spans="21:67" ht="11.25">
      <c r="U17" s="1">
        <f>AU29</f>
        <v>1</v>
      </c>
      <c r="Y17" s="1">
        <f>AU55</f>
        <v>1</v>
      </c>
      <c r="AD17" s="1">
        <f>AU105</f>
        <v>1.831867926585937E-15</v>
      </c>
      <c r="AE17" s="1">
        <f>AU101</f>
        <v>1.5543122626607523E-15</v>
      </c>
      <c r="AR17" s="2" t="s">
        <v>123</v>
      </c>
      <c r="AS17" s="2" t="s">
        <v>144</v>
      </c>
      <c r="AT17" s="95">
        <f>632.8-538.7</f>
        <v>94.09999999999991</v>
      </c>
      <c r="AU17" s="4">
        <v>1.3214096483693538E-11</v>
      </c>
      <c r="AV17" s="42">
        <f t="shared" si="4"/>
        <v>1.2434464791155608E-09</v>
      </c>
      <c r="BB17" s="4" t="s">
        <v>124</v>
      </c>
      <c r="BC17" s="3">
        <f>$AK$23</f>
        <v>0.9999999999999976</v>
      </c>
      <c r="BD17" s="3">
        <f>$AK$25</f>
        <v>0</v>
      </c>
      <c r="BE17" s="3">
        <f>$AH$24</f>
        <v>1.887378405691408E-15</v>
      </c>
      <c r="BF17" s="3">
        <f>$AG$20</f>
        <v>1</v>
      </c>
      <c r="BG17" s="3"/>
      <c r="BH17" s="3"/>
      <c r="BI17" s="65">
        <f t="shared" si="0"/>
        <v>1.9999999999999996</v>
      </c>
      <c r="BJ17" s="3">
        <f t="shared" si="1"/>
        <v>0.9999999999999998</v>
      </c>
      <c r="BK17" s="3">
        <f t="shared" si="2"/>
        <v>0.9999999999999998</v>
      </c>
      <c r="BL17" s="3">
        <f t="shared" si="3"/>
        <v>0.9999999999999998</v>
      </c>
      <c r="BM17" s="3"/>
      <c r="BN17" s="3"/>
      <c r="BO17" s="61"/>
    </row>
    <row r="18" spans="5:67" ht="11.25">
      <c r="E18" s="1">
        <f>AU13</f>
        <v>0.9999999999999999</v>
      </c>
      <c r="F18" s="1">
        <f>AU28</f>
        <v>0.9999999999999991</v>
      </c>
      <c r="G18" s="6"/>
      <c r="U18" s="4" t="s">
        <v>121</v>
      </c>
      <c r="AC18" s="4" t="s">
        <v>86</v>
      </c>
      <c r="AD18" s="1">
        <f>AU131</f>
        <v>0</v>
      </c>
      <c r="AE18" s="4" t="s">
        <v>85</v>
      </c>
      <c r="AK18" s="1">
        <f>AU25</f>
        <v>1</v>
      </c>
      <c r="AR18" s="2" t="s">
        <v>14</v>
      </c>
      <c r="AS18" s="2" t="s">
        <v>43</v>
      </c>
      <c r="AT18" s="95">
        <v>88.4</v>
      </c>
      <c r="AU18" s="4">
        <v>0.9999999999999979</v>
      </c>
      <c r="AV18" s="42">
        <f t="shared" si="4"/>
        <v>88.39999999999982</v>
      </c>
      <c r="BB18" s="4" t="s">
        <v>130</v>
      </c>
      <c r="BC18" s="3">
        <f>$AH$26</f>
        <v>1.693091239385E-15</v>
      </c>
      <c r="BD18" s="3">
        <f>$AJ$26</f>
        <v>0.9999999999999996</v>
      </c>
      <c r="BE18" s="3">
        <f>$AH$28</f>
        <v>0.9999999999999989</v>
      </c>
      <c r="BF18" s="3"/>
      <c r="BG18" s="3"/>
      <c r="BH18" s="3"/>
      <c r="BI18" s="65">
        <f t="shared" si="0"/>
        <v>2</v>
      </c>
      <c r="BJ18" s="3">
        <f t="shared" si="1"/>
        <v>1</v>
      </c>
      <c r="BK18" s="3">
        <f t="shared" si="2"/>
        <v>1</v>
      </c>
      <c r="BL18" s="3">
        <f t="shared" si="3"/>
        <v>1</v>
      </c>
      <c r="BM18" s="3"/>
      <c r="BN18" s="3"/>
      <c r="BO18" s="61"/>
    </row>
    <row r="19" spans="9:67" ht="11.25">
      <c r="I19" s="1">
        <f>AU23</f>
        <v>4.82946462470285E-15</v>
      </c>
      <c r="AD19" s="1">
        <f>AU90</f>
        <v>1</v>
      </c>
      <c r="AE19" s="1">
        <f>AU98</f>
        <v>0.9999999999999988</v>
      </c>
      <c r="AR19" s="2" t="s">
        <v>92</v>
      </c>
      <c r="AS19" s="2" t="s">
        <v>90</v>
      </c>
      <c r="AT19" s="95">
        <f>199.2-112.3</f>
        <v>86.89999999999999</v>
      </c>
      <c r="AU19" s="4">
        <v>1</v>
      </c>
      <c r="AV19" s="42">
        <f t="shared" si="4"/>
        <v>86.89999999999999</v>
      </c>
      <c r="BB19" s="4" t="s">
        <v>132</v>
      </c>
      <c r="BC19" s="3">
        <f>$AH$29</f>
        <v>1.0000000000000002</v>
      </c>
      <c r="BD19" s="3">
        <f>$AJ$28</f>
        <v>1</v>
      </c>
      <c r="BE19" s="3">
        <f>$AJ$27</f>
        <v>5.5511151228669414E-17</v>
      </c>
      <c r="BF19" s="3"/>
      <c r="BG19" s="3"/>
      <c r="BH19" s="3"/>
      <c r="BI19" s="65">
        <f t="shared" si="0"/>
        <v>2</v>
      </c>
      <c r="BJ19" s="3">
        <f t="shared" si="1"/>
        <v>1</v>
      </c>
      <c r="BK19" s="3">
        <f t="shared" si="2"/>
        <v>1</v>
      </c>
      <c r="BL19" s="3">
        <f t="shared" si="3"/>
        <v>1</v>
      </c>
      <c r="BM19" s="3"/>
      <c r="BN19" s="3"/>
      <c r="BO19" s="61"/>
    </row>
    <row r="20" spans="5:67" ht="11.25">
      <c r="E20" s="4" t="s">
        <v>79</v>
      </c>
      <c r="U20" s="1">
        <f>AU70</f>
        <v>5.828627970913706E-16</v>
      </c>
      <c r="AB20" s="1">
        <f>AU62</f>
        <v>0.9999999999999998</v>
      </c>
      <c r="AE20" s="4" t="s">
        <v>84</v>
      </c>
      <c r="AG20" s="1">
        <f>AU63</f>
        <v>1</v>
      </c>
      <c r="AR20" s="2" t="s">
        <v>42</v>
      </c>
      <c r="AS20" s="2" t="s">
        <v>43</v>
      </c>
      <c r="AT20" s="95">
        <f>134.1-47.4</f>
        <v>86.69999999999999</v>
      </c>
      <c r="AU20" s="4">
        <v>1</v>
      </c>
      <c r="AV20" s="42">
        <f t="shared" si="4"/>
        <v>86.69999999999999</v>
      </c>
      <c r="BB20" s="4" t="s">
        <v>131</v>
      </c>
      <c r="BC20" s="3">
        <f>$AK$25</f>
        <v>0</v>
      </c>
      <c r="BD20" s="3">
        <f>$AL$26</f>
        <v>0.999999999999999</v>
      </c>
      <c r="BE20" s="3">
        <f>$AJ$26</f>
        <v>0.9999999999999996</v>
      </c>
      <c r="BF20" s="3">
        <f>$AJ$27</f>
        <v>5.5511151228669414E-17</v>
      </c>
      <c r="BG20" s="3">
        <f>$AK$27</f>
        <v>1.0547118733477738E-15</v>
      </c>
      <c r="BH20" s="3"/>
      <c r="BI20" s="65">
        <f t="shared" si="0"/>
        <v>1.9999999999999998</v>
      </c>
      <c r="BJ20" s="3">
        <f t="shared" si="1"/>
        <v>0.9999999999999999</v>
      </c>
      <c r="BK20" s="3">
        <f t="shared" si="2"/>
        <v>0.9999999999999999</v>
      </c>
      <c r="BL20" s="3">
        <f t="shared" si="3"/>
        <v>0.9999999999999999</v>
      </c>
      <c r="BM20" s="3"/>
      <c r="BN20" s="3"/>
      <c r="BO20" s="61"/>
    </row>
    <row r="21" spans="5:67" ht="11.25">
      <c r="E21" s="1">
        <f>AU85</f>
        <v>2.2204460492423633E-15</v>
      </c>
      <c r="AD21" s="1">
        <f>AU114</f>
        <v>1.1102208974015099E-15</v>
      </c>
      <c r="AE21" s="1">
        <f>AU112</f>
        <v>5.550895619823165E-17</v>
      </c>
      <c r="AR21" s="2" t="s">
        <v>123</v>
      </c>
      <c r="AS21" s="2" t="s">
        <v>99</v>
      </c>
      <c r="AT21" s="95">
        <v>85.6</v>
      </c>
      <c r="AU21" s="4">
        <v>0.9999999999800147</v>
      </c>
      <c r="AV21" s="42">
        <f t="shared" si="4"/>
        <v>85.59999999828925</v>
      </c>
      <c r="BB21" s="4" t="s">
        <v>133</v>
      </c>
      <c r="BC21" s="3">
        <f>$AK$27</f>
        <v>1.0547118733477738E-15</v>
      </c>
      <c r="BD21" s="3">
        <f>$AL$28</f>
        <v>0.9999999999999993</v>
      </c>
      <c r="BE21" s="3">
        <f>$AJ$28</f>
        <v>1</v>
      </c>
      <c r="BF21" s="3"/>
      <c r="BG21" s="3"/>
      <c r="BH21" s="3"/>
      <c r="BI21" s="65">
        <f t="shared" si="0"/>
        <v>2.0000000000000004</v>
      </c>
      <c r="BJ21" s="3">
        <f t="shared" si="1"/>
        <v>1.0000000000000002</v>
      </c>
      <c r="BK21" s="3">
        <f t="shared" si="2"/>
        <v>1.0000000000000002</v>
      </c>
      <c r="BL21" s="3">
        <f t="shared" si="3"/>
        <v>1.0000000000000002</v>
      </c>
      <c r="BM21" s="3"/>
      <c r="BN21" s="3"/>
      <c r="BO21" s="61"/>
    </row>
    <row r="22" spans="5:67" ht="11.25">
      <c r="E22" s="4" t="s">
        <v>45</v>
      </c>
      <c r="F22" s="1">
        <f>AU87</f>
        <v>0.9999999999999978</v>
      </c>
      <c r="G22" s="4" t="s">
        <v>46</v>
      </c>
      <c r="H22" s="1">
        <f>AU44</f>
        <v>1.942890293701871E-15</v>
      </c>
      <c r="I22" s="4" t="s">
        <v>47</v>
      </c>
      <c r="U22" s="4" t="s">
        <v>122</v>
      </c>
      <c r="AC22" s="4" t="s">
        <v>34</v>
      </c>
      <c r="AD22" s="1">
        <f>AU118</f>
        <v>0.9999999999999999</v>
      </c>
      <c r="AE22" s="4" t="s">
        <v>35</v>
      </c>
      <c r="AF22" s="1">
        <f>AU104</f>
        <v>0</v>
      </c>
      <c r="AK22" s="4" t="s">
        <v>125</v>
      </c>
      <c r="AL22" s="9">
        <f>AU54</f>
        <v>2.4343769503636054E-15</v>
      </c>
      <c r="AM22" s="4" t="s">
        <v>136</v>
      </c>
      <c r="AO22" s="3"/>
      <c r="AR22" s="2" t="s">
        <v>91</v>
      </c>
      <c r="AS22" s="2" t="s">
        <v>90</v>
      </c>
      <c r="AT22" s="95">
        <v>84.4</v>
      </c>
      <c r="AU22" s="4">
        <v>1</v>
      </c>
      <c r="AV22" s="42">
        <f t="shared" si="4"/>
        <v>84.4</v>
      </c>
      <c r="BB22" s="4" t="s">
        <v>6</v>
      </c>
      <c r="BC22" s="3">
        <f>$T$30</f>
        <v>0.999999999998893</v>
      </c>
      <c r="BD22" s="3">
        <f>$R$30</f>
        <v>1.1070033778799044E-12</v>
      </c>
      <c r="BE22" s="3">
        <f>$P$32</f>
        <v>0.9999999999999999</v>
      </c>
      <c r="BF22" s="3"/>
      <c r="BG22" s="3"/>
      <c r="BH22" s="3"/>
      <c r="BI22" s="65">
        <f t="shared" si="0"/>
        <v>2</v>
      </c>
      <c r="BJ22" s="3">
        <f t="shared" si="1"/>
        <v>1</v>
      </c>
      <c r="BK22" s="3">
        <f t="shared" si="2"/>
        <v>1</v>
      </c>
      <c r="BL22" s="3">
        <f t="shared" si="3"/>
        <v>1</v>
      </c>
      <c r="BM22" s="3"/>
      <c r="BN22" s="3"/>
      <c r="BO22" s="61"/>
    </row>
    <row r="23" spans="6:67" ht="11.25">
      <c r="F23" s="1">
        <f>AU77</f>
        <v>-2.434198034887882E-23</v>
      </c>
      <c r="G23" s="1">
        <f>AU97</f>
        <v>1</v>
      </c>
      <c r="J23" s="1">
        <f>AU40</f>
        <v>2.6090186050242435E-15</v>
      </c>
      <c r="U23" s="1">
        <f>AU95</f>
        <v>0.9999999999999992</v>
      </c>
      <c r="W23" s="1">
        <f>AU108</f>
        <v>1</v>
      </c>
      <c r="AC23" s="1">
        <f>AU121</f>
        <v>0.9999999999999997</v>
      </c>
      <c r="AE23" s="1">
        <f>AU133</f>
        <v>1</v>
      </c>
      <c r="AK23" s="1">
        <f>AU92</f>
        <v>0.9999999999999976</v>
      </c>
      <c r="AL23" s="9"/>
      <c r="AM23" s="1">
        <f>AU86</f>
        <v>0.9999999999999981</v>
      </c>
      <c r="AN23" s="1">
        <f>AU14</f>
        <v>0.9999999999999996</v>
      </c>
      <c r="AR23" s="2" t="s">
        <v>47</v>
      </c>
      <c r="AS23" s="2" t="s">
        <v>81</v>
      </c>
      <c r="AT23" s="95">
        <v>71.5</v>
      </c>
      <c r="AU23" s="4">
        <v>4.82946462470285E-15</v>
      </c>
      <c r="AV23" s="42">
        <f t="shared" si="4"/>
        <v>3.4530672066625375E-13</v>
      </c>
      <c r="BB23" s="4" t="s">
        <v>7</v>
      </c>
      <c r="BC23" s="3">
        <f>$P$30</f>
        <v>0.9999999999988927</v>
      </c>
      <c r="BD23" s="3">
        <f>$R$30</f>
        <v>1.1070033778799044E-12</v>
      </c>
      <c r="BE23" s="3">
        <f>$S$29</f>
        <v>1</v>
      </c>
      <c r="BF23" s="3"/>
      <c r="BG23" s="3"/>
      <c r="BH23" s="3"/>
      <c r="BI23" s="65">
        <f t="shared" si="0"/>
        <v>1.9999999999999996</v>
      </c>
      <c r="BJ23" s="3">
        <f t="shared" si="1"/>
        <v>0.9999999999999998</v>
      </c>
      <c r="BK23" s="3">
        <f t="shared" si="2"/>
        <v>0.9999999999999998</v>
      </c>
      <c r="BL23" s="3">
        <f t="shared" si="3"/>
        <v>0.9999999999999998</v>
      </c>
      <c r="BM23" s="3"/>
      <c r="BN23" s="3"/>
      <c r="BO23" s="61"/>
    </row>
    <row r="24" spans="5:67" ht="11.25">
      <c r="E24" s="9">
        <f>AU8</f>
        <v>1</v>
      </c>
      <c r="G24" s="4" t="s">
        <v>44</v>
      </c>
      <c r="K24" s="4" t="s">
        <v>43</v>
      </c>
      <c r="P24" s="1">
        <f>AU20</f>
        <v>1</v>
      </c>
      <c r="U24" s="4" t="s">
        <v>42</v>
      </c>
      <c r="W24" s="1">
        <f>AU94</f>
        <v>-1.6271735284333972E-27</v>
      </c>
      <c r="Y24" s="4" t="s">
        <v>38</v>
      </c>
      <c r="Z24" s="1">
        <f>AU122</f>
        <v>0</v>
      </c>
      <c r="AA24" s="4" t="s">
        <v>39</v>
      </c>
      <c r="AB24" s="1">
        <f>AU67</f>
        <v>1</v>
      </c>
      <c r="AC24" s="4" t="s">
        <v>33</v>
      </c>
      <c r="AE24" s="4" t="s">
        <v>120</v>
      </c>
      <c r="AH24" s="1">
        <f>AU71</f>
        <v>1.887378405691408E-15</v>
      </c>
      <c r="AK24" s="4" t="s">
        <v>124</v>
      </c>
      <c r="AL24" s="9"/>
      <c r="AM24" s="4" t="s">
        <v>137</v>
      </c>
      <c r="AN24" s="1">
        <f>AU69</f>
        <v>6.106226809259967E-16</v>
      </c>
      <c r="AO24" s="4" t="s">
        <v>138</v>
      </c>
      <c r="AR24" s="2" t="s">
        <v>27</v>
      </c>
      <c r="AS24" s="2" t="s">
        <v>9</v>
      </c>
      <c r="AT24" s="95">
        <f>802.3-733.2</f>
        <v>69.09999999999991</v>
      </c>
      <c r="AU24" s="4">
        <v>1.1101952690403012E-12</v>
      </c>
      <c r="AV24" s="42">
        <f t="shared" si="4"/>
        <v>7.67144930906847E-11</v>
      </c>
      <c r="BB24" s="4" t="s">
        <v>12</v>
      </c>
      <c r="BC24" s="3">
        <f>$N$30</f>
        <v>1.1074474670897886E-12</v>
      </c>
      <c r="BD24" s="3">
        <f>$P$30</f>
        <v>0.9999999999988927</v>
      </c>
      <c r="BE24" s="3">
        <f>$K$32</f>
        <v>1</v>
      </c>
      <c r="BF24" s="3"/>
      <c r="BG24" s="3"/>
      <c r="BH24" s="3"/>
      <c r="BI24" s="65">
        <f t="shared" si="0"/>
        <v>2</v>
      </c>
      <c r="BJ24" s="3">
        <f t="shared" si="1"/>
        <v>1</v>
      </c>
      <c r="BK24" s="3">
        <f t="shared" si="2"/>
        <v>1</v>
      </c>
      <c r="BL24" s="3">
        <f t="shared" si="3"/>
        <v>1</v>
      </c>
      <c r="BM24" s="3"/>
      <c r="BN24" s="3"/>
      <c r="BO24" s="61"/>
    </row>
    <row r="25" spans="21:67" ht="11.25">
      <c r="U25" s="1">
        <f>AU99</f>
        <v>5.551115173402854E-16</v>
      </c>
      <c r="Z25" s="1">
        <f>AU103</f>
        <v>0.9999999999999998</v>
      </c>
      <c r="AA25" s="1">
        <f>AU125</f>
        <v>2.22044701543723E-16</v>
      </c>
      <c r="AF25" s="1">
        <f>AU126</f>
        <v>0.9999999999999982</v>
      </c>
      <c r="AK25" s="1">
        <f>AU84</f>
        <v>0</v>
      </c>
      <c r="AL25" s="9"/>
      <c r="AM25" s="1">
        <f>AU80</f>
        <v>0.9999999999999988</v>
      </c>
      <c r="AO25" s="1">
        <f>AU5</f>
        <v>0.9999999999999997</v>
      </c>
      <c r="AR25" s="2" t="s">
        <v>126</v>
      </c>
      <c r="AS25" s="2" t="s">
        <v>125</v>
      </c>
      <c r="AT25" s="95">
        <f>716.8-649.3</f>
        <v>67.5</v>
      </c>
      <c r="AU25" s="4">
        <v>1</v>
      </c>
      <c r="AV25" s="42">
        <f t="shared" si="4"/>
        <v>67.5</v>
      </c>
      <c r="BB25" s="4" t="s">
        <v>8</v>
      </c>
      <c r="BC25" s="3">
        <f>$L$30</f>
        <v>0.9999999999988924</v>
      </c>
      <c r="BD25" s="3">
        <f>$N$30</f>
        <v>1.1074474670897886E-12</v>
      </c>
      <c r="BE25" s="3">
        <f>$P$32</f>
        <v>0.9999999999999999</v>
      </c>
      <c r="BF25" s="3"/>
      <c r="BG25" s="3"/>
      <c r="BH25" s="3"/>
      <c r="BI25" s="65">
        <f t="shared" si="0"/>
        <v>1.9999999999999998</v>
      </c>
      <c r="BJ25" s="3">
        <f t="shared" si="1"/>
        <v>0.9999999999999999</v>
      </c>
      <c r="BK25" s="3">
        <f t="shared" si="2"/>
        <v>0.9999999999999999</v>
      </c>
      <c r="BL25" s="3">
        <f t="shared" si="3"/>
        <v>0.9999999999999999</v>
      </c>
      <c r="BM25" s="3"/>
      <c r="BN25" s="3"/>
      <c r="BO25" s="61"/>
    </row>
    <row r="26" spans="1:67" ht="11.25">
      <c r="A26" s="4" t="s">
        <v>149</v>
      </c>
      <c r="C26" s="7">
        <f>AU140</f>
        <v>1</v>
      </c>
      <c r="E26" s="4" t="s">
        <v>148</v>
      </c>
      <c r="AA26" s="4" t="s">
        <v>37</v>
      </c>
      <c r="AC26" s="1">
        <f>AU138</f>
        <v>1.1102230246168291E-16</v>
      </c>
      <c r="AG26" s="4" t="s">
        <v>129</v>
      </c>
      <c r="AH26" s="1">
        <f>AU129</f>
        <v>1.693091239385E-15</v>
      </c>
      <c r="AI26" s="4" t="s">
        <v>130</v>
      </c>
      <c r="AJ26" s="1">
        <f>AU81</f>
        <v>0.9999999999999996</v>
      </c>
      <c r="AK26" s="4" t="s">
        <v>131</v>
      </c>
      <c r="AL26" s="9">
        <f>AU75</f>
        <v>0.999999999999999</v>
      </c>
      <c r="AM26" s="4" t="s">
        <v>134</v>
      </c>
      <c r="AR26" s="2" t="s">
        <v>99</v>
      </c>
      <c r="AS26" s="2" t="s">
        <v>152</v>
      </c>
      <c r="AT26" s="95">
        <v>64.6</v>
      </c>
      <c r="AU26" s="4">
        <v>0.9999999999754606</v>
      </c>
      <c r="AV26" s="42">
        <f t="shared" si="4"/>
        <v>64.59999999841475</v>
      </c>
      <c r="BB26" s="4" t="s">
        <v>43</v>
      </c>
      <c r="BC26" s="3">
        <f>$K$27</f>
        <v>0.9999999999999979</v>
      </c>
      <c r="BD26" s="3">
        <f>$P$24</f>
        <v>1</v>
      </c>
      <c r="BE26" s="3">
        <f>$J$23</f>
        <v>2.6090186050242435E-15</v>
      </c>
      <c r="BF26" s="3"/>
      <c r="BG26" s="3"/>
      <c r="BH26" s="3"/>
      <c r="BI26" s="65">
        <f t="shared" si="0"/>
        <v>2.0000000000000004</v>
      </c>
      <c r="BJ26" s="3">
        <f t="shared" si="1"/>
        <v>1.0000000000000002</v>
      </c>
      <c r="BK26" s="3">
        <f t="shared" si="2"/>
        <v>1.0000000000000002</v>
      </c>
      <c r="BL26" s="3">
        <f t="shared" si="3"/>
        <v>1.0000000000000002</v>
      </c>
      <c r="BM26" s="3"/>
      <c r="BN26" s="3"/>
      <c r="BO26" s="61"/>
    </row>
    <row r="27" spans="7:67" ht="11.25">
      <c r="G27" s="1">
        <f>AU6</f>
        <v>1</v>
      </c>
      <c r="K27" s="1">
        <f>AU18</f>
        <v>0.9999999999999979</v>
      </c>
      <c r="U27" s="4" t="s">
        <v>41</v>
      </c>
      <c r="V27" s="1">
        <f>AU56</f>
        <v>1</v>
      </c>
      <c r="W27" s="4" t="s">
        <v>40</v>
      </c>
      <c r="AA27" s="1">
        <f>AU58</f>
        <v>1</v>
      </c>
      <c r="AF27" s="1">
        <f>AU136</f>
        <v>0</v>
      </c>
      <c r="AG27" s="1">
        <f>AU137</f>
        <v>0.9999999999999998</v>
      </c>
      <c r="AJ27" s="1">
        <f>AU113</f>
        <v>5.5511151228669414E-17</v>
      </c>
      <c r="AK27" s="1">
        <f>AU116</f>
        <v>1.0547118733477738E-15</v>
      </c>
      <c r="AL27" s="9"/>
      <c r="AM27" s="1">
        <f>AU127</f>
        <v>9.81852222809862E-16</v>
      </c>
      <c r="AR27" s="2" t="s">
        <v>83</v>
      </c>
      <c r="AS27" s="2" t="s">
        <v>95</v>
      </c>
      <c r="AT27" s="95">
        <v>64.2</v>
      </c>
      <c r="AU27" s="4">
        <v>1</v>
      </c>
      <c r="AV27" s="42">
        <f t="shared" si="4"/>
        <v>64.2</v>
      </c>
      <c r="BB27" s="4" t="s">
        <v>14</v>
      </c>
      <c r="BC27" s="3">
        <f>$L$30</f>
        <v>0.9999999999988924</v>
      </c>
      <c r="BD27" s="3">
        <f>$J$30</f>
        <v>1.109889957691805E-12</v>
      </c>
      <c r="BE27" s="3">
        <f>$K$27</f>
        <v>0.9999999999999979</v>
      </c>
      <c r="BF27" s="3"/>
      <c r="BG27" s="3"/>
      <c r="BH27" s="3"/>
      <c r="BI27" s="65">
        <f t="shared" si="0"/>
        <v>2</v>
      </c>
      <c r="BJ27" s="3">
        <f t="shared" si="1"/>
        <v>1</v>
      </c>
      <c r="BK27" s="3">
        <f t="shared" si="2"/>
        <v>1</v>
      </c>
      <c r="BL27" s="3">
        <f t="shared" si="3"/>
        <v>1</v>
      </c>
      <c r="BM27" s="3"/>
      <c r="BN27" s="3"/>
      <c r="BO27" s="61"/>
    </row>
    <row r="28" spans="5:67" ht="11.25">
      <c r="E28" s="1">
        <f>AU53</f>
        <v>2.1115331705345852E-12</v>
      </c>
      <c r="Y28" s="1">
        <f>AU68</f>
        <v>2.220446101036888E-16</v>
      </c>
      <c r="AA28" s="4" t="s">
        <v>209</v>
      </c>
      <c r="AC28" s="4" t="s">
        <v>32</v>
      </c>
      <c r="AD28" s="1">
        <f>AU107</f>
        <v>1</v>
      </c>
      <c r="AE28" s="4" t="s">
        <v>128</v>
      </c>
      <c r="AF28" s="1">
        <f>AU135</f>
        <v>0.9999999999999997</v>
      </c>
      <c r="AG28" s="4" t="s">
        <v>127</v>
      </c>
      <c r="AH28" s="1">
        <f>AU120</f>
        <v>0.9999999999999989</v>
      </c>
      <c r="AI28" s="4" t="s">
        <v>132</v>
      </c>
      <c r="AJ28" s="1">
        <f>AU102</f>
        <v>1</v>
      </c>
      <c r="AK28" s="4" t="s">
        <v>133</v>
      </c>
      <c r="AL28" s="9">
        <f>AU78</f>
        <v>0.9999999999999993</v>
      </c>
      <c r="AM28" s="4" t="s">
        <v>135</v>
      </c>
      <c r="AO28" s="3"/>
      <c r="AR28" s="2" t="s">
        <v>79</v>
      </c>
      <c r="AS28" s="2" t="s">
        <v>82</v>
      </c>
      <c r="AT28" s="95">
        <v>62.7</v>
      </c>
      <c r="AU28" s="4">
        <v>0.9999999999999991</v>
      </c>
      <c r="AV28" s="42">
        <f t="shared" si="4"/>
        <v>62.699999999999946</v>
      </c>
      <c r="BB28" s="4" t="s">
        <v>13</v>
      </c>
      <c r="BC28" s="3">
        <f>$H$30</f>
        <v>0.99999999999889</v>
      </c>
      <c r="BD28" s="3">
        <f>$J$30</f>
        <v>1.109889957691805E-12</v>
      </c>
      <c r="BE28" s="3">
        <f>$K$32</f>
        <v>1</v>
      </c>
      <c r="BF28" s="3"/>
      <c r="BG28" s="3"/>
      <c r="BH28" s="3"/>
      <c r="BI28" s="65">
        <f t="shared" si="0"/>
        <v>2</v>
      </c>
      <c r="BJ28" s="3">
        <f t="shared" si="1"/>
        <v>1</v>
      </c>
      <c r="BK28" s="3">
        <f t="shared" si="2"/>
        <v>1</v>
      </c>
      <c r="BL28" s="3">
        <f t="shared" si="3"/>
        <v>1</v>
      </c>
      <c r="BM28" s="3"/>
      <c r="BN28" s="3"/>
      <c r="BO28" s="61"/>
    </row>
    <row r="29" spans="19:67" ht="11.25">
      <c r="S29" s="1">
        <f>AU34</f>
        <v>1</v>
      </c>
      <c r="U29" s="1">
        <f>AU52</f>
        <v>0.9999999999999996</v>
      </c>
      <c r="W29" s="1">
        <f>AU111</f>
        <v>0</v>
      </c>
      <c r="AA29" s="1">
        <f>AU59</f>
        <v>5.540012893121029E-13</v>
      </c>
      <c r="AC29" s="1">
        <f>AU93</f>
        <v>1</v>
      </c>
      <c r="AG29" s="1">
        <f>AU134</f>
        <v>5.273570634776946E-16</v>
      </c>
      <c r="AH29" s="1">
        <f>AU76</f>
        <v>1.0000000000000002</v>
      </c>
      <c r="AL29" s="9"/>
      <c r="AR29" s="2" t="s">
        <v>89</v>
      </c>
      <c r="AS29" s="2" t="s">
        <v>121</v>
      </c>
      <c r="AT29" s="95">
        <v>60.9</v>
      </c>
      <c r="AU29" s="4">
        <v>1</v>
      </c>
      <c r="AV29" s="42">
        <f t="shared" si="4"/>
        <v>60.9</v>
      </c>
      <c r="BB29" s="4" t="s">
        <v>94</v>
      </c>
      <c r="BC29" s="3">
        <f>$P$12</f>
        <v>0.9999999999934492</v>
      </c>
      <c r="BD29" s="3">
        <f>$T$10</f>
        <v>0.9999999999934496</v>
      </c>
      <c r="BE29" s="3">
        <f>$Q$13</f>
        <v>-8.769318604606724E-12</v>
      </c>
      <c r="BF29" s="3"/>
      <c r="BG29" s="3"/>
      <c r="BH29" s="3"/>
      <c r="BI29" s="65">
        <f t="shared" si="0"/>
        <v>1.9999999999781295</v>
      </c>
      <c r="BJ29" s="3">
        <f t="shared" si="1"/>
        <v>0.9999999999890647</v>
      </c>
      <c r="BK29" s="3">
        <f t="shared" si="2"/>
        <v>0.9999999999890647</v>
      </c>
      <c r="BL29" s="3">
        <f t="shared" si="3"/>
        <v>0.9999999999890647</v>
      </c>
      <c r="BM29" s="3"/>
      <c r="BN29" s="3"/>
      <c r="BO29" s="61"/>
    </row>
    <row r="30" spans="1:67" ht="11.25">
      <c r="A30" s="6"/>
      <c r="B30" s="6"/>
      <c r="C30" s="4" t="s">
        <v>10</v>
      </c>
      <c r="D30" s="7">
        <f>AU139</f>
        <v>0</v>
      </c>
      <c r="E30" s="4" t="s">
        <v>27</v>
      </c>
      <c r="F30" s="9">
        <f>AU24</f>
        <v>1.1101952690403012E-12</v>
      </c>
      <c r="G30" s="4" t="s">
        <v>9</v>
      </c>
      <c r="H30" s="1">
        <f>AU11</f>
        <v>0.99999999999889</v>
      </c>
      <c r="I30" s="4" t="s">
        <v>13</v>
      </c>
      <c r="J30" s="1">
        <f>AU49</f>
        <v>1.109889957691805E-12</v>
      </c>
      <c r="K30" s="4" t="s">
        <v>14</v>
      </c>
      <c r="L30" s="1">
        <f>AU72</f>
        <v>0.9999999999988924</v>
      </c>
      <c r="M30" s="4" t="s">
        <v>8</v>
      </c>
      <c r="N30" s="1">
        <f>AU115</f>
        <v>1.1074474670897886E-12</v>
      </c>
      <c r="O30" s="4" t="s">
        <v>12</v>
      </c>
      <c r="P30" s="1">
        <f>AU43</f>
        <v>0.9999999999988927</v>
      </c>
      <c r="Q30" s="4" t="s">
        <v>7</v>
      </c>
      <c r="R30" s="1">
        <f>AU110</f>
        <v>1.1070033778799044E-12</v>
      </c>
      <c r="S30" s="4" t="s">
        <v>6</v>
      </c>
      <c r="T30" s="1">
        <f>AU74</f>
        <v>0.999999999998893</v>
      </c>
      <c r="U30" s="4" t="s">
        <v>5</v>
      </c>
      <c r="V30" s="1">
        <f>AU46</f>
        <v>1.1076695065069246E-12</v>
      </c>
      <c r="W30" s="4" t="s">
        <v>4</v>
      </c>
      <c r="AA30" s="4" t="s">
        <v>36</v>
      </c>
      <c r="AB30" s="1">
        <f>AU83</f>
        <v>0</v>
      </c>
      <c r="AG30" s="4" t="s">
        <v>0</v>
      </c>
      <c r="AR30" s="2" t="s">
        <v>6</v>
      </c>
      <c r="AS30" s="2" t="s">
        <v>8</v>
      </c>
      <c r="AT30" s="95">
        <v>60.2</v>
      </c>
      <c r="AU30" s="4">
        <v>0.9999999999999999</v>
      </c>
      <c r="AV30" s="42">
        <f t="shared" si="4"/>
        <v>60.199999999999996</v>
      </c>
      <c r="BB30" s="4" t="s">
        <v>93</v>
      </c>
      <c r="BC30" s="3">
        <f>$K$13</f>
        <v>1</v>
      </c>
      <c r="BD30" s="3">
        <f>$P$12</f>
        <v>0.9999999999934492</v>
      </c>
      <c r="BE30" s="3">
        <f>$N$12</f>
        <v>0</v>
      </c>
      <c r="BF30" s="3"/>
      <c r="BG30" s="3"/>
      <c r="BH30" s="3"/>
      <c r="BI30" s="65">
        <f t="shared" si="0"/>
        <v>1.9999999999934492</v>
      </c>
      <c r="BJ30" s="3">
        <f t="shared" si="1"/>
        <v>0.9999999999967246</v>
      </c>
      <c r="BK30" s="3">
        <f t="shared" si="2"/>
        <v>0.9999999999967246</v>
      </c>
      <c r="BL30" s="3">
        <f t="shared" si="3"/>
        <v>0.9999999999967246</v>
      </c>
      <c r="BM30" s="3"/>
      <c r="BN30" s="3"/>
      <c r="BO30" s="61"/>
    </row>
    <row r="31" spans="24:67" ht="11.25">
      <c r="X31" s="1">
        <f>AU117</f>
        <v>1.1076695065069375E-12</v>
      </c>
      <c r="Y31" s="1">
        <f>AU60</f>
        <v>0.9999999999994453</v>
      </c>
      <c r="Z31" s="1">
        <f>AU96</f>
        <v>0.9999999999994466</v>
      </c>
      <c r="AA31" s="1">
        <f>AU132</f>
        <v>1</v>
      </c>
      <c r="AE31" s="1">
        <f>AU109</f>
        <v>0</v>
      </c>
      <c r="AR31" s="2" t="s">
        <v>12</v>
      </c>
      <c r="AS31" s="2" t="s">
        <v>13</v>
      </c>
      <c r="AT31" s="95">
        <f>180.2-120.7</f>
        <v>59.499999999999986</v>
      </c>
      <c r="AU31" s="4">
        <v>1</v>
      </c>
      <c r="AV31" s="42">
        <f t="shared" si="4"/>
        <v>59.499999999999986</v>
      </c>
      <c r="BB31" s="4" t="s">
        <v>92</v>
      </c>
      <c r="BC31" s="3">
        <f>$Q$13</f>
        <v>-8.769318604606724E-12</v>
      </c>
      <c r="BD31" s="3">
        <f>$R$14</f>
        <v>1</v>
      </c>
      <c r="BE31" s="3">
        <f>$R$15</f>
        <v>1</v>
      </c>
      <c r="BF31" s="3"/>
      <c r="BG31" s="3"/>
      <c r="BH31" s="3"/>
      <c r="BI31" s="65">
        <f t="shared" si="0"/>
        <v>1.9999999999912306</v>
      </c>
      <c r="BJ31" s="3">
        <f t="shared" si="1"/>
        <v>0.9999999999956153</v>
      </c>
      <c r="BK31" s="3">
        <f t="shared" si="2"/>
        <v>0.9999999999956153</v>
      </c>
      <c r="BL31" s="3">
        <f t="shared" si="3"/>
        <v>0.9999999999956153</v>
      </c>
      <c r="BM31" s="3"/>
      <c r="BN31" s="3"/>
      <c r="BO31" s="61"/>
    </row>
    <row r="32" spans="3:67" ht="11.25">
      <c r="C32" s="6"/>
      <c r="K32" s="1">
        <f>AU31</f>
        <v>1</v>
      </c>
      <c r="P32" s="1">
        <f>AU30</f>
        <v>0.9999999999999999</v>
      </c>
      <c r="Y32" s="4" t="s">
        <v>3</v>
      </c>
      <c r="Z32" s="1">
        <f>AU128</f>
        <v>2.7755575616631595E-16</v>
      </c>
      <c r="AA32" s="4" t="s">
        <v>2</v>
      </c>
      <c r="AB32" s="1">
        <f>AU88</f>
        <v>0.9999999999999994</v>
      </c>
      <c r="AC32" s="4" t="s">
        <v>1</v>
      </c>
      <c r="AR32" s="2" t="s">
        <v>88</v>
      </c>
      <c r="AS32" s="2" t="s">
        <v>81</v>
      </c>
      <c r="AT32" s="95">
        <v>59.4</v>
      </c>
      <c r="AU32" s="4">
        <v>0.9999999999999961</v>
      </c>
      <c r="AV32" s="42">
        <f t="shared" si="4"/>
        <v>59.39999999999977</v>
      </c>
      <c r="BB32" s="4" t="s">
        <v>90</v>
      </c>
      <c r="BC32" s="3">
        <f>$R$14</f>
        <v>1</v>
      </c>
      <c r="BD32" s="3">
        <f>$S$15</f>
        <v>1.1102230246251565E-16</v>
      </c>
      <c r="BE32" s="3">
        <f>$Y$14</f>
        <v>1</v>
      </c>
      <c r="BF32" s="3"/>
      <c r="BG32" s="3"/>
      <c r="BH32" s="3"/>
      <c r="BI32" s="65">
        <f t="shared" si="0"/>
        <v>2</v>
      </c>
      <c r="BJ32" s="3">
        <f t="shared" si="1"/>
        <v>1</v>
      </c>
      <c r="BK32" s="3">
        <f t="shared" si="2"/>
        <v>1</v>
      </c>
      <c r="BL32" s="3">
        <f t="shared" si="3"/>
        <v>1</v>
      </c>
      <c r="BM32" s="3"/>
      <c r="BN32" s="3"/>
      <c r="BO32" s="61"/>
    </row>
    <row r="33" spans="30:67" ht="11.25">
      <c r="AD33" s="9"/>
      <c r="AE33" s="9"/>
      <c r="AF33" s="9"/>
      <c r="AR33" s="2" t="s">
        <v>82</v>
      </c>
      <c r="AS33" s="2" t="s">
        <v>81</v>
      </c>
      <c r="AT33" s="95">
        <v>58</v>
      </c>
      <c r="AU33" s="4">
        <v>1</v>
      </c>
      <c r="AV33" s="42">
        <f t="shared" si="4"/>
        <v>58</v>
      </c>
      <c r="BB33" s="4" t="s">
        <v>88</v>
      </c>
      <c r="BC33" s="3">
        <f>$S$15</f>
        <v>1.1102230246251565E-16</v>
      </c>
      <c r="BD33" s="3">
        <f>$R$15</f>
        <v>1</v>
      </c>
      <c r="BE33" s="3">
        <f>$N$16</f>
        <v>0.9999999999999961</v>
      </c>
      <c r="BF33" s="3">
        <f>$T$16</f>
        <v>4.996005377999831E-16</v>
      </c>
      <c r="BG33" s="3">
        <f>U15</f>
        <v>3.1918912110252435E-15</v>
      </c>
      <c r="BH33" s="3"/>
      <c r="BI33" s="65">
        <f t="shared" si="0"/>
        <v>1.9999999999999996</v>
      </c>
      <c r="BJ33" s="3">
        <f t="shared" si="1"/>
        <v>0.9999999999999998</v>
      </c>
      <c r="BK33" s="3">
        <f t="shared" si="2"/>
        <v>0.9999999999999998</v>
      </c>
      <c r="BL33" s="3">
        <f t="shared" si="3"/>
        <v>0.9999999999999998</v>
      </c>
      <c r="BM33" s="3"/>
      <c r="BN33" s="3"/>
      <c r="BO33" s="61"/>
    </row>
    <row r="34" spans="23:67" ht="11.25">
      <c r="W34" s="18" t="s">
        <v>202</v>
      </c>
      <c r="AB34" s="116" t="s">
        <v>218</v>
      </c>
      <c r="AD34" s="9"/>
      <c r="AE34" s="9"/>
      <c r="AF34" s="9"/>
      <c r="AR34" s="2" t="s">
        <v>7</v>
      </c>
      <c r="AS34" s="2" t="s">
        <v>40</v>
      </c>
      <c r="AT34" s="95">
        <f>83.9-28.8</f>
        <v>55.10000000000001</v>
      </c>
      <c r="AU34" s="4">
        <v>1</v>
      </c>
      <c r="AV34" s="42">
        <f t="shared" si="4"/>
        <v>55.10000000000001</v>
      </c>
      <c r="BB34" s="4" t="s">
        <v>38</v>
      </c>
      <c r="BC34" s="3">
        <f>$W$24</f>
        <v>-1.6271735284333972E-27</v>
      </c>
      <c r="BD34" s="3">
        <f>$W$23</f>
        <v>1</v>
      </c>
      <c r="BE34" s="3">
        <f>$Z$24</f>
        <v>0</v>
      </c>
      <c r="BF34" s="3">
        <f>$Z$25</f>
        <v>0.9999999999999998</v>
      </c>
      <c r="BG34" s="3"/>
      <c r="BH34" s="3"/>
      <c r="BI34" s="65">
        <f aca="true" t="shared" si="5" ref="BI34:BI56">SUM(BC34:BH34)</f>
        <v>1.9999999999999998</v>
      </c>
      <c r="BJ34" s="3">
        <f t="shared" si="1"/>
        <v>0.9999999999999999</v>
      </c>
      <c r="BK34" s="3">
        <f t="shared" si="2"/>
        <v>0.9999999999999999</v>
      </c>
      <c r="BL34" s="3">
        <f t="shared" si="3"/>
        <v>0.9999999999999999</v>
      </c>
      <c r="BM34" s="3">
        <f>BI34/2</f>
        <v>0.9999999999999999</v>
      </c>
      <c r="BN34" s="3"/>
      <c r="BO34" s="61"/>
    </row>
    <row r="35" spans="23:67" ht="11.25" customHeight="1">
      <c r="W35" s="136"/>
      <c r="X35" s="138"/>
      <c r="Y35" s="80" t="s">
        <v>193</v>
      </c>
      <c r="Z35" s="79" t="s">
        <v>194</v>
      </c>
      <c r="AB35" s="136"/>
      <c r="AC35" s="138"/>
      <c r="AD35" s="80" t="s">
        <v>193</v>
      </c>
      <c r="AE35" s="79" t="s">
        <v>194</v>
      </c>
      <c r="AF35" s="9"/>
      <c r="AR35" s="2" t="s">
        <v>91</v>
      </c>
      <c r="AS35" s="2" t="s">
        <v>87</v>
      </c>
      <c r="AT35" s="95">
        <v>50.3</v>
      </c>
      <c r="AU35" s="4">
        <v>0</v>
      </c>
      <c r="AV35" s="42">
        <f t="shared" si="4"/>
        <v>0</v>
      </c>
      <c r="BB35" s="4" t="s">
        <v>3</v>
      </c>
      <c r="BC35" s="3">
        <f>$X$31</f>
        <v>1.1076695065069375E-12</v>
      </c>
      <c r="BD35" s="3">
        <f>$Z$31</f>
        <v>0.9999999999994466</v>
      </c>
      <c r="BE35" s="3">
        <f>$Z$32</f>
        <v>2.7755575616631595E-16</v>
      </c>
      <c r="BF35" s="3">
        <f>Y31</f>
        <v>0.9999999999994453</v>
      </c>
      <c r="BG35" s="3"/>
      <c r="BH35" s="3"/>
      <c r="BI35" s="65">
        <f t="shared" si="5"/>
        <v>1.9999999999999998</v>
      </c>
      <c r="BJ35" s="3">
        <f t="shared" si="1"/>
        <v>0.9999999999999999</v>
      </c>
      <c r="BK35" s="3">
        <f t="shared" si="2"/>
        <v>0.9999999999999999</v>
      </c>
      <c r="BL35" s="3">
        <f t="shared" si="3"/>
        <v>0.9999999999999999</v>
      </c>
      <c r="BM35" s="3"/>
      <c r="BN35" s="3"/>
      <c r="BO35" s="61"/>
    </row>
    <row r="36" spans="23:67" ht="11.25">
      <c r="W36" s="43" t="s">
        <v>198</v>
      </c>
      <c r="X36" s="86"/>
      <c r="Y36" s="80">
        <v>3</v>
      </c>
      <c r="Z36" s="121">
        <f>U17+Y16+Y17+V16</f>
        <v>3.9999999999999964</v>
      </c>
      <c r="AB36" s="117" t="s">
        <v>220</v>
      </c>
      <c r="AC36" s="118"/>
      <c r="AD36" s="80">
        <v>3</v>
      </c>
      <c r="AE36" s="79">
        <f>P4+AE7+AG5</f>
        <v>0.9999999999999999</v>
      </c>
      <c r="AF36" s="9"/>
      <c r="AR36" s="2" t="s">
        <v>91</v>
      </c>
      <c r="AS36" s="2" t="s">
        <v>126</v>
      </c>
      <c r="AT36" s="95">
        <v>50.2</v>
      </c>
      <c r="AU36" s="4">
        <v>1.5543566433962042E-11</v>
      </c>
      <c r="AV36" s="42">
        <f t="shared" si="4"/>
        <v>7.802870349848946E-10</v>
      </c>
      <c r="BB36" s="4" t="s">
        <v>40</v>
      </c>
      <c r="BC36" s="3">
        <f>$Y$28</f>
        <v>2.220446101036888E-16</v>
      </c>
      <c r="BD36" s="3">
        <f>$S$29</f>
        <v>1</v>
      </c>
      <c r="BE36" s="3">
        <f>$V$27</f>
        <v>1</v>
      </c>
      <c r="BF36" s="3">
        <f>$W$29</f>
        <v>0</v>
      </c>
      <c r="BG36" s="3"/>
      <c r="BH36" s="3"/>
      <c r="BI36" s="65">
        <f t="shared" si="5"/>
        <v>2</v>
      </c>
      <c r="BJ36" s="3">
        <f t="shared" si="1"/>
        <v>1</v>
      </c>
      <c r="BK36" s="3">
        <f t="shared" si="2"/>
        <v>1</v>
      </c>
      <c r="BL36" s="3">
        <f t="shared" si="3"/>
        <v>1</v>
      </c>
      <c r="BM36" s="3"/>
      <c r="BN36" s="3"/>
      <c r="BO36" s="61"/>
    </row>
    <row r="37" spans="23:67" ht="11.25">
      <c r="W37" s="11"/>
      <c r="X37" s="12"/>
      <c r="Y37" s="89">
        <v>4</v>
      </c>
      <c r="Z37" s="122">
        <f>T16+U15+Y16+Y17+U17</f>
        <v>3.0000000000000004</v>
      </c>
      <c r="AB37" s="119" t="s">
        <v>219</v>
      </c>
      <c r="AC37" s="120"/>
      <c r="AD37" s="83">
        <v>3</v>
      </c>
      <c r="AE37" s="84">
        <f>C16+C26+D30</f>
        <v>1</v>
      </c>
      <c r="AF37" s="9"/>
      <c r="AR37" s="2" t="s">
        <v>140</v>
      </c>
      <c r="AS37" s="2" t="s">
        <v>97</v>
      </c>
      <c r="AT37" s="95">
        <v>49.8</v>
      </c>
      <c r="AU37" s="4">
        <v>1</v>
      </c>
      <c r="AV37" s="42">
        <f aca="true" t="shared" si="6" ref="AV37:AV58">AT37*AU37</f>
        <v>49.8</v>
      </c>
      <c r="BB37" s="4" t="s">
        <v>4</v>
      </c>
      <c r="BC37" s="3">
        <f>$W$29</f>
        <v>0</v>
      </c>
      <c r="BD37" s="3">
        <f>$X$31</f>
        <v>1.1076695065069375E-12</v>
      </c>
      <c r="BE37" s="3">
        <f>$V$30</f>
        <v>1.1076695065069246E-12</v>
      </c>
      <c r="BF37" s="3"/>
      <c r="BG37" s="3"/>
      <c r="BH37" s="3"/>
      <c r="BI37" s="65">
        <f t="shared" si="5"/>
        <v>2.215339013013862E-12</v>
      </c>
      <c r="BJ37" s="3">
        <f t="shared" si="1"/>
        <v>1.107669506506931E-12</v>
      </c>
      <c r="BK37" s="3">
        <f t="shared" si="2"/>
        <v>1.107669506506931E-12</v>
      </c>
      <c r="BL37" s="3">
        <f t="shared" si="3"/>
        <v>1.107669506506931E-12</v>
      </c>
      <c r="BM37" s="3"/>
      <c r="BN37" s="3"/>
      <c r="BO37" s="61"/>
    </row>
    <row r="38" spans="23:67" ht="11.25">
      <c r="W38" s="40" t="s">
        <v>213</v>
      </c>
      <c r="X38" s="64"/>
      <c r="Y38" s="93">
        <v>2</v>
      </c>
      <c r="Z38" s="123">
        <f>R15+R14+S15</f>
        <v>2</v>
      </c>
      <c r="AC38" s="9"/>
      <c r="AD38" s="9"/>
      <c r="AE38" s="9"/>
      <c r="AF38" s="9"/>
      <c r="AR38" s="2" t="s">
        <v>162</v>
      </c>
      <c r="AS38" s="2" t="s">
        <v>164</v>
      </c>
      <c r="AT38" s="95">
        <v>40.3</v>
      </c>
      <c r="AU38" s="4">
        <v>3.1918912110252435E-15</v>
      </c>
      <c r="AV38" s="42">
        <f t="shared" si="6"/>
        <v>1.2863321580431731E-13</v>
      </c>
      <c r="BB38" s="4" t="s">
        <v>5</v>
      </c>
      <c r="BC38" s="3">
        <f>$V$30</f>
        <v>1.1076695065069246E-12</v>
      </c>
      <c r="BD38" s="3">
        <f>$U$29</f>
        <v>0.9999999999999996</v>
      </c>
      <c r="BE38" s="3">
        <f>$T$30</f>
        <v>0.999999999998893</v>
      </c>
      <c r="BF38" s="3"/>
      <c r="BG38" s="3"/>
      <c r="BH38" s="3"/>
      <c r="BI38" s="65">
        <f t="shared" si="5"/>
        <v>2</v>
      </c>
      <c r="BJ38" s="3">
        <f t="shared" si="1"/>
        <v>1</v>
      </c>
      <c r="BK38" s="3">
        <f t="shared" si="2"/>
        <v>1</v>
      </c>
      <c r="BL38" s="3">
        <f t="shared" si="3"/>
        <v>1</v>
      </c>
      <c r="BM38" s="3"/>
      <c r="BN38" s="3"/>
      <c r="BO38" s="61"/>
    </row>
    <row r="39" spans="23:67" ht="11.25">
      <c r="W39" s="77" t="s">
        <v>199</v>
      </c>
      <c r="X39" s="78"/>
      <c r="Y39" s="82">
        <v>2</v>
      </c>
      <c r="Z39" s="124">
        <f>AE31+AG29+AH26+AK25+AL22</f>
        <v>4.6548252532263E-15</v>
      </c>
      <c r="AC39" s="9"/>
      <c r="AD39" s="9"/>
      <c r="AE39" s="9"/>
      <c r="AF39" s="9"/>
      <c r="AR39" s="2" t="s">
        <v>146</v>
      </c>
      <c r="AS39" s="2" t="s">
        <v>142</v>
      </c>
      <c r="AT39" s="95">
        <v>40.1</v>
      </c>
      <c r="AU39" s="4">
        <v>1</v>
      </c>
      <c r="AV39" s="42">
        <f t="shared" si="6"/>
        <v>40.1</v>
      </c>
      <c r="BB39" s="4" t="s">
        <v>41</v>
      </c>
      <c r="BC39" s="3">
        <f>$U$25</f>
        <v>5.551115173402854E-16</v>
      </c>
      <c r="BD39" s="3">
        <f>$V$27</f>
        <v>1</v>
      </c>
      <c r="BE39" s="3">
        <f>$U$29</f>
        <v>0.9999999999999996</v>
      </c>
      <c r="BF39" s="3"/>
      <c r="BG39" s="3"/>
      <c r="BH39" s="3"/>
      <c r="BI39" s="65">
        <f t="shared" si="5"/>
        <v>2</v>
      </c>
      <c r="BJ39" s="3">
        <f t="shared" si="1"/>
        <v>1</v>
      </c>
      <c r="BK39" s="3">
        <f t="shared" si="2"/>
        <v>1</v>
      </c>
      <c r="BL39" s="3">
        <f t="shared" si="3"/>
        <v>1</v>
      </c>
      <c r="BM39" s="3"/>
      <c r="BN39" s="3"/>
      <c r="BO39" s="61"/>
    </row>
    <row r="40" spans="23:67" ht="11.25">
      <c r="W40" s="77"/>
      <c r="X40" s="78"/>
      <c r="Y40" s="82">
        <v>2</v>
      </c>
      <c r="Z40" s="124">
        <f>AB30+AB32+Y28+AC26+AF25+AK25+AL22</f>
        <v>2.0000000000000004</v>
      </c>
      <c r="AC40" s="9"/>
      <c r="AD40" s="9"/>
      <c r="AE40" s="9"/>
      <c r="AF40" s="9"/>
      <c r="AR40" s="2" t="s">
        <v>43</v>
      </c>
      <c r="AS40" s="2" t="s">
        <v>47</v>
      </c>
      <c r="AT40" s="95">
        <f>173.7-134.1</f>
        <v>39.599999999999994</v>
      </c>
      <c r="AU40" s="4">
        <v>2.6090186050242435E-15</v>
      </c>
      <c r="AV40" s="42">
        <f t="shared" si="6"/>
        <v>1.0331713675896003E-13</v>
      </c>
      <c r="BB40" s="4" t="s">
        <v>42</v>
      </c>
      <c r="BC40" s="3">
        <f>$U$25</f>
        <v>5.551115173402854E-16</v>
      </c>
      <c r="BD40" s="3">
        <f>$W$24</f>
        <v>-1.6271735284333972E-27</v>
      </c>
      <c r="BE40" s="3">
        <f>$U$23</f>
        <v>0.9999999999999992</v>
      </c>
      <c r="BF40" s="3">
        <f>$P$24</f>
        <v>1</v>
      </c>
      <c r="BG40" s="3"/>
      <c r="BH40" s="3"/>
      <c r="BI40" s="65">
        <f t="shared" si="5"/>
        <v>1.9999999999999998</v>
      </c>
      <c r="BJ40" s="3">
        <f t="shared" si="1"/>
        <v>0.9999999999999999</v>
      </c>
      <c r="BK40" s="3">
        <f t="shared" si="2"/>
        <v>0.9999999999999999</v>
      </c>
      <c r="BL40" s="3">
        <f t="shared" si="3"/>
        <v>0.9999999999999999</v>
      </c>
      <c r="BM40" s="3"/>
      <c r="BN40" s="3"/>
      <c r="BO40" s="61"/>
    </row>
    <row r="41" spans="23:67" ht="11.25">
      <c r="W41" s="77"/>
      <c r="X41" s="78"/>
      <c r="Y41" s="82">
        <v>2</v>
      </c>
      <c r="Z41" s="124">
        <f>AE31+AC29+AA25+Z24+AD17+AD18+AE19+AH24+AK25+AL22</f>
        <v>2.000000000000005</v>
      </c>
      <c r="AC41" s="9"/>
      <c r="AD41" s="9"/>
      <c r="AE41" s="9"/>
      <c r="AF41" s="85"/>
      <c r="AR41" s="2" t="s">
        <v>83</v>
      </c>
      <c r="AS41" s="2" t="s">
        <v>80</v>
      </c>
      <c r="AT41" s="95">
        <f>175.1-136.3</f>
        <v>38.79999999999998</v>
      </c>
      <c r="AU41" s="4">
        <v>1</v>
      </c>
      <c r="AV41" s="42">
        <f t="shared" si="6"/>
        <v>38.79999999999998</v>
      </c>
      <c r="BB41" s="4" t="s">
        <v>122</v>
      </c>
      <c r="BC41" s="3">
        <f>$U$23</f>
        <v>0.9999999999999992</v>
      </c>
      <c r="BD41" s="3">
        <f>$U$20</f>
        <v>5.828627970913706E-16</v>
      </c>
      <c r="BE41" s="3">
        <f>$W$23</f>
        <v>1</v>
      </c>
      <c r="BF41" s="3"/>
      <c r="BG41" s="3"/>
      <c r="BH41" s="3"/>
      <c r="BI41" s="65">
        <f t="shared" si="5"/>
        <v>1.9999999999999998</v>
      </c>
      <c r="BJ41" s="3">
        <f t="shared" si="1"/>
        <v>0.9999999999999999</v>
      </c>
      <c r="BK41" s="3">
        <f t="shared" si="2"/>
        <v>0.9999999999999999</v>
      </c>
      <c r="BL41" s="3">
        <f t="shared" si="3"/>
        <v>0.9999999999999999</v>
      </c>
      <c r="BM41" s="3"/>
      <c r="BN41" s="3"/>
      <c r="BO41" s="61"/>
    </row>
    <row r="42" spans="23:67" ht="11.25">
      <c r="W42" s="11"/>
      <c r="X42" s="62"/>
      <c r="Y42" s="88">
        <v>2</v>
      </c>
      <c r="Z42" s="124">
        <f>AE31+AD28+AF25+AK25+AL22</f>
        <v>2.0000000000000004</v>
      </c>
      <c r="AC42" s="9"/>
      <c r="AD42" s="9"/>
      <c r="AE42" s="9"/>
      <c r="AF42" s="9"/>
      <c r="AR42" s="2" t="s">
        <v>94</v>
      </c>
      <c r="AS42" s="2" t="s">
        <v>92</v>
      </c>
      <c r="AT42" s="95">
        <f>71.4-33.4</f>
        <v>38.00000000000001</v>
      </c>
      <c r="AU42" s="4">
        <v>-8.769318604606724E-12</v>
      </c>
      <c r="AV42" s="42">
        <f t="shared" si="6"/>
        <v>-3.3323410697505556E-10</v>
      </c>
      <c r="BB42" s="4" t="s">
        <v>121</v>
      </c>
      <c r="BC42" s="3">
        <f>$Y$17</f>
        <v>1</v>
      </c>
      <c r="BD42" s="3">
        <f>$U$17</f>
        <v>1</v>
      </c>
      <c r="BE42" s="3">
        <f>$U$20</f>
        <v>5.828627970913706E-16</v>
      </c>
      <c r="BF42" s="3"/>
      <c r="BG42" s="3"/>
      <c r="BH42" s="3"/>
      <c r="BI42" s="65">
        <f t="shared" si="5"/>
        <v>2.0000000000000004</v>
      </c>
      <c r="BJ42" s="3">
        <f t="shared" si="1"/>
        <v>1.0000000000000002</v>
      </c>
      <c r="BK42" s="3">
        <f t="shared" si="2"/>
        <v>1.0000000000000002</v>
      </c>
      <c r="BL42" s="3">
        <f t="shared" si="3"/>
        <v>1.0000000000000002</v>
      </c>
      <c r="BM42" s="3"/>
      <c r="BN42" s="3"/>
      <c r="BO42" s="61"/>
    </row>
    <row r="43" spans="23:67" ht="11.25">
      <c r="W43" s="40" t="s">
        <v>200</v>
      </c>
      <c r="X43" s="64"/>
      <c r="Y43" s="81">
        <v>2</v>
      </c>
      <c r="Z43" s="125">
        <f>S7+N12+I11</f>
        <v>3.108968637610195E-11</v>
      </c>
      <c r="AC43" s="9"/>
      <c r="AD43" s="9"/>
      <c r="AE43" s="9"/>
      <c r="AF43" s="9"/>
      <c r="AR43" s="2" t="s">
        <v>7</v>
      </c>
      <c r="AS43" s="2" t="s">
        <v>12</v>
      </c>
      <c r="AT43" s="95">
        <f>120.7-83.9</f>
        <v>36.8</v>
      </c>
      <c r="AU43" s="4">
        <v>0.9999999999988927</v>
      </c>
      <c r="AV43" s="42">
        <f t="shared" si="6"/>
        <v>36.79999999995925</v>
      </c>
      <c r="BB43" s="4" t="s">
        <v>89</v>
      </c>
      <c r="BC43" s="3">
        <f>$U$17</f>
        <v>1</v>
      </c>
      <c r="BD43" s="3">
        <f>$V$16</f>
        <v>0.9999999999999998</v>
      </c>
      <c r="BE43" s="3">
        <f>$T$16</f>
        <v>4.996005377999831E-16</v>
      </c>
      <c r="BF43" s="3"/>
      <c r="BG43" s="3"/>
      <c r="BH43" s="3"/>
      <c r="BI43" s="65">
        <f t="shared" si="5"/>
        <v>2.0000000000000004</v>
      </c>
      <c r="BJ43" s="3">
        <f t="shared" si="1"/>
        <v>1.0000000000000002</v>
      </c>
      <c r="BK43" s="3">
        <f t="shared" si="2"/>
        <v>1.0000000000000002</v>
      </c>
      <c r="BL43" s="3">
        <f t="shared" si="3"/>
        <v>1.0000000000000002</v>
      </c>
      <c r="BM43" s="3"/>
      <c r="BN43" s="3"/>
      <c r="BO43" s="61"/>
    </row>
    <row r="44" spans="23:67" ht="11.25">
      <c r="W44" s="43" t="s">
        <v>214</v>
      </c>
      <c r="X44" s="44"/>
      <c r="Y44" s="88">
        <v>2</v>
      </c>
      <c r="Z44" s="124">
        <f>Z24+AA25+AC26+AE23+AF22+AE19+AD18+AD17</f>
        <v>2.000000000000001</v>
      </c>
      <c r="AC44" s="9"/>
      <c r="AD44" s="9"/>
      <c r="AE44" s="9"/>
      <c r="AF44" s="9"/>
      <c r="AR44" s="2" t="s">
        <v>47</v>
      </c>
      <c r="AS44" s="2" t="s">
        <v>46</v>
      </c>
      <c r="AT44" s="95">
        <f>210.4-173.7</f>
        <v>36.70000000000002</v>
      </c>
      <c r="AU44" s="4">
        <v>1.942890293701871E-15</v>
      </c>
      <c r="AV44" s="42">
        <f t="shared" si="6"/>
        <v>7.130407377885869E-14</v>
      </c>
      <c r="BB44" s="4" t="s">
        <v>162</v>
      </c>
      <c r="BC44" s="3">
        <f>Y16</f>
        <v>0.9999999999999967</v>
      </c>
      <c r="BD44" s="3">
        <f>V16</f>
        <v>0.9999999999999998</v>
      </c>
      <c r="BE44" s="3"/>
      <c r="BF44" s="3">
        <f>U15</f>
        <v>3.1918912110252435E-15</v>
      </c>
      <c r="BG44" s="3"/>
      <c r="BH44" s="3"/>
      <c r="BI44" s="65">
        <f t="shared" si="5"/>
        <v>1.9999999999999996</v>
      </c>
      <c r="BJ44" s="3">
        <f t="shared" si="1"/>
        <v>0.9999999999999998</v>
      </c>
      <c r="BK44" s="3">
        <f t="shared" si="2"/>
        <v>0.9999999999999998</v>
      </c>
      <c r="BL44" s="3">
        <f t="shared" si="3"/>
        <v>0.9999999999999998</v>
      </c>
      <c r="BM44" s="3"/>
      <c r="BN44" s="3"/>
      <c r="BO44" s="61"/>
    </row>
    <row r="45" spans="23:67" ht="11.25">
      <c r="W45" s="40" t="s">
        <v>215</v>
      </c>
      <c r="X45" s="64"/>
      <c r="Y45" s="93">
        <v>2</v>
      </c>
      <c r="Z45" s="125">
        <f>C16+E21+I19+T16+U15+Y14+AB8+P4</f>
        <v>1.9999999999754712</v>
      </c>
      <c r="AC45" s="9"/>
      <c r="AD45" s="9"/>
      <c r="AE45" s="9"/>
      <c r="AF45" s="9"/>
      <c r="AR45" s="2" t="s">
        <v>97</v>
      </c>
      <c r="AS45" s="2" t="s">
        <v>83</v>
      </c>
      <c r="AT45" s="95">
        <v>36.3</v>
      </c>
      <c r="AU45" s="4">
        <v>4.4408417003765603E-16</v>
      </c>
      <c r="AV45" s="42">
        <f t="shared" si="6"/>
        <v>1.6120255372366912E-14</v>
      </c>
      <c r="BB45" s="4" t="s">
        <v>81</v>
      </c>
      <c r="BC45" s="3">
        <f>$N$16</f>
        <v>0.9999999999999961</v>
      </c>
      <c r="BD45" s="3">
        <f>$H$16</f>
        <v>1</v>
      </c>
      <c r="BE45" s="3">
        <f>$I$19</f>
        <v>4.82946462470285E-15</v>
      </c>
      <c r="BF45" s="3"/>
      <c r="BG45" s="3"/>
      <c r="BH45" s="3"/>
      <c r="BI45" s="65">
        <f t="shared" si="5"/>
        <v>2.000000000000001</v>
      </c>
      <c r="BJ45" s="3">
        <f t="shared" si="1"/>
        <v>1.0000000000000004</v>
      </c>
      <c r="BK45" s="3">
        <f t="shared" si="2"/>
        <v>1.0000000000000004</v>
      </c>
      <c r="BL45" s="3">
        <f t="shared" si="3"/>
        <v>1.0000000000000004</v>
      </c>
      <c r="BM45" s="3"/>
      <c r="BN45" s="3"/>
      <c r="BO45" s="61"/>
    </row>
    <row r="46" spans="29:67" ht="11.25">
      <c r="AC46" s="9"/>
      <c r="AD46" s="9"/>
      <c r="AE46" s="9"/>
      <c r="AF46" s="9"/>
      <c r="AR46" s="2" t="s">
        <v>4</v>
      </c>
      <c r="AS46" s="2" t="s">
        <v>5</v>
      </c>
      <c r="AT46" s="95">
        <f>23.9+12.1</f>
        <v>36</v>
      </c>
      <c r="AU46" s="4">
        <v>1.1076695065069246E-12</v>
      </c>
      <c r="AV46" s="42">
        <f t="shared" si="6"/>
        <v>3.9876102234249285E-11</v>
      </c>
      <c r="BB46" s="4" t="s">
        <v>47</v>
      </c>
      <c r="BC46" s="3">
        <f>$I$19</f>
        <v>4.82946462470285E-15</v>
      </c>
      <c r="BD46" s="3">
        <f>$H$22</f>
        <v>1.942890293701871E-15</v>
      </c>
      <c r="BE46" s="3">
        <f>$J$23</f>
        <v>2.6090186050242435E-15</v>
      </c>
      <c r="BF46" s="3"/>
      <c r="BG46" s="3"/>
      <c r="BH46" s="3"/>
      <c r="BI46" s="65">
        <f t="shared" si="5"/>
        <v>9.381373523428964E-15</v>
      </c>
      <c r="BJ46" s="3">
        <f t="shared" si="1"/>
        <v>4.690686761714482E-15</v>
      </c>
      <c r="BK46" s="3">
        <f t="shared" si="2"/>
        <v>4.690686761714482E-15</v>
      </c>
      <c r="BL46" s="3">
        <f t="shared" si="3"/>
        <v>4.690686761714482E-15</v>
      </c>
      <c r="BM46" s="3"/>
      <c r="BN46" s="3"/>
      <c r="BO46" s="61"/>
    </row>
    <row r="47" spans="23:67" ht="11.25">
      <c r="W47" s="40" t="s">
        <v>224</v>
      </c>
      <c r="X47" s="64"/>
      <c r="Y47" s="113">
        <v>0</v>
      </c>
      <c r="Z47" s="114">
        <f>AF7</f>
        <v>0.9999999999800147</v>
      </c>
      <c r="AC47" s="9"/>
      <c r="AD47" s="9"/>
      <c r="AE47" s="9"/>
      <c r="AF47" s="9"/>
      <c r="AR47" s="2" t="s">
        <v>162</v>
      </c>
      <c r="AS47" s="2" t="s">
        <v>163</v>
      </c>
      <c r="AT47" s="95">
        <v>35.9</v>
      </c>
      <c r="AU47" s="4">
        <v>0.9999999999999998</v>
      </c>
      <c r="AV47" s="42">
        <f t="shared" si="6"/>
        <v>35.89999999999999</v>
      </c>
      <c r="BB47" s="4" t="s">
        <v>100</v>
      </c>
      <c r="BC47" s="3">
        <f>$T$10</f>
        <v>0.9999999999934496</v>
      </c>
      <c r="BD47" s="3">
        <f>$AB$8</f>
        <v>0.9999999999754606</v>
      </c>
      <c r="BE47" s="3">
        <f>$S$7</f>
        <v>3.108924229193191E-11</v>
      </c>
      <c r="BF47" s="3"/>
      <c r="BG47" s="3"/>
      <c r="BH47" s="3"/>
      <c r="BI47" s="65">
        <f t="shared" si="5"/>
        <v>1.9999999999999996</v>
      </c>
      <c r="BJ47" s="3">
        <f t="shared" si="1"/>
        <v>0.9999999999999998</v>
      </c>
      <c r="BK47" s="3">
        <f t="shared" si="2"/>
        <v>0.9999999999999998</v>
      </c>
      <c r="BL47" s="3">
        <f t="shared" si="3"/>
        <v>0.9999999999999998</v>
      </c>
      <c r="BM47" s="3"/>
      <c r="BN47" s="3"/>
      <c r="BO47" s="61"/>
    </row>
    <row r="48" spans="29:67" ht="11.25">
      <c r="AC48" s="9"/>
      <c r="AD48" s="9"/>
      <c r="AE48" s="9"/>
      <c r="AF48" s="9"/>
      <c r="AR48" s="2" t="s">
        <v>87</v>
      </c>
      <c r="AS48" s="2" t="s">
        <v>162</v>
      </c>
      <c r="AT48" s="95">
        <v>34.4</v>
      </c>
      <c r="AU48" s="4">
        <v>0.9999999999999967</v>
      </c>
      <c r="AV48" s="42">
        <f t="shared" si="6"/>
        <v>34.399999999999885</v>
      </c>
      <c r="BB48" s="4" t="s">
        <v>143</v>
      </c>
      <c r="BC48" s="3">
        <f>$M$9</f>
        <v>4.111488927094342E-12</v>
      </c>
      <c r="BD48" s="3">
        <f>$N$9</f>
        <v>0.9999999999999999</v>
      </c>
      <c r="BE48" s="3">
        <f>$M$11</f>
        <v>0.9999999999934478</v>
      </c>
      <c r="BF48" s="3"/>
      <c r="BG48" s="3"/>
      <c r="BH48" s="3"/>
      <c r="BI48" s="65">
        <f t="shared" si="5"/>
        <v>1.9999999999975593</v>
      </c>
      <c r="BJ48" s="3">
        <f t="shared" si="1"/>
        <v>0.9999999999987796</v>
      </c>
      <c r="BK48" s="3">
        <f t="shared" si="2"/>
        <v>0.9999999999987796</v>
      </c>
      <c r="BL48" s="3">
        <f t="shared" si="3"/>
        <v>0.9999999999987796</v>
      </c>
      <c r="BM48" s="3"/>
      <c r="BN48" s="3"/>
      <c r="BO48" s="61"/>
    </row>
    <row r="49" spans="23:67" ht="11.25">
      <c r="W49" s="135"/>
      <c r="X49" s="135"/>
      <c r="Y49" s="6"/>
      <c r="Z49" s="6"/>
      <c r="AC49" s="9"/>
      <c r="AD49" s="9"/>
      <c r="AE49" s="9"/>
      <c r="AF49" s="9"/>
      <c r="AR49" s="2" t="s">
        <v>13</v>
      </c>
      <c r="AS49" s="2" t="s">
        <v>14</v>
      </c>
      <c r="AT49" s="95">
        <f>180.2-146.2</f>
        <v>34</v>
      </c>
      <c r="AU49" s="4">
        <v>1.109889957691805E-12</v>
      </c>
      <c r="AV49" s="42">
        <f t="shared" si="6"/>
        <v>3.7736258561521376E-11</v>
      </c>
      <c r="BB49" s="4" t="s">
        <v>86</v>
      </c>
      <c r="BC49" s="3">
        <f>$AB$20</f>
        <v>0.9999999999999998</v>
      </c>
      <c r="BD49" s="3">
        <f>$AD$17</f>
        <v>1.831867926585937E-15</v>
      </c>
      <c r="BE49" s="3">
        <f>$AD$18</f>
        <v>0</v>
      </c>
      <c r="BF49" s="3">
        <f>$AD$19</f>
        <v>1</v>
      </c>
      <c r="BG49" s="3"/>
      <c r="BH49" s="3"/>
      <c r="BI49" s="65">
        <f t="shared" si="5"/>
        <v>2.0000000000000018</v>
      </c>
      <c r="BJ49" s="3">
        <f t="shared" si="1"/>
        <v>1.0000000000000009</v>
      </c>
      <c r="BK49" s="3">
        <f t="shared" si="2"/>
        <v>1.0000000000000009</v>
      </c>
      <c r="BL49" s="3">
        <f t="shared" si="3"/>
        <v>1.0000000000000009</v>
      </c>
      <c r="BM49" s="3"/>
      <c r="BN49" s="3"/>
      <c r="BO49" s="61"/>
    </row>
    <row r="50" spans="23:67" ht="11.25">
      <c r="W50" s="135"/>
      <c r="X50" s="135"/>
      <c r="Y50" s="6"/>
      <c r="Z50" s="6"/>
      <c r="AC50" s="9"/>
      <c r="AD50" s="9"/>
      <c r="AE50" s="9"/>
      <c r="AF50" s="85"/>
      <c r="AR50" s="2" t="s">
        <v>146</v>
      </c>
      <c r="AS50" s="2" t="s">
        <v>140</v>
      </c>
      <c r="AT50" s="95">
        <v>34</v>
      </c>
      <c r="AU50" s="4">
        <v>4.002687070681077E-12</v>
      </c>
      <c r="AV50" s="42">
        <f t="shared" si="6"/>
        <v>1.3609136040315661E-10</v>
      </c>
      <c r="BB50" s="4" t="s">
        <v>34</v>
      </c>
      <c r="BC50" s="3">
        <f>$AD$21</f>
        <v>1.1102208974015099E-15</v>
      </c>
      <c r="BD50" s="3">
        <f>$AD$22</f>
        <v>0.9999999999999999</v>
      </c>
      <c r="BE50" s="3">
        <f>$AC$23</f>
        <v>0.9999999999999997</v>
      </c>
      <c r="BF50" s="3"/>
      <c r="BG50" s="3"/>
      <c r="BH50" s="3"/>
      <c r="BI50" s="65">
        <f t="shared" si="5"/>
        <v>2.0000000000000004</v>
      </c>
      <c r="BJ50" s="3">
        <f t="shared" si="1"/>
        <v>1.0000000000000002</v>
      </c>
      <c r="BK50" s="3">
        <f t="shared" si="2"/>
        <v>1.0000000000000002</v>
      </c>
      <c r="BL50" s="3">
        <f t="shared" si="3"/>
        <v>1.0000000000000002</v>
      </c>
      <c r="BM50" s="3"/>
      <c r="BN50" s="3"/>
      <c r="BO50" s="61"/>
    </row>
    <row r="51" spans="23:67" ht="11.25">
      <c r="W51" s="135"/>
      <c r="X51" s="135"/>
      <c r="Y51" s="6"/>
      <c r="Z51" s="6"/>
      <c r="AC51" s="9"/>
      <c r="AD51" s="9"/>
      <c r="AE51" s="9"/>
      <c r="AF51" s="9"/>
      <c r="AR51" s="2" t="s">
        <v>96</v>
      </c>
      <c r="AS51" s="2" t="s">
        <v>97</v>
      </c>
      <c r="AT51" s="95">
        <f>100-66.3</f>
        <v>33.7</v>
      </c>
      <c r="AU51" s="4">
        <v>0.9999999999999992</v>
      </c>
      <c r="AV51" s="42">
        <f t="shared" si="6"/>
        <v>33.699999999999974</v>
      </c>
      <c r="BB51" s="4" t="s">
        <v>33</v>
      </c>
      <c r="BC51" s="3">
        <f>$AC$23</f>
        <v>0.9999999999999997</v>
      </c>
      <c r="BD51" s="3">
        <f>$AB$24</f>
        <v>1</v>
      </c>
      <c r="BE51" s="3">
        <f>$AC$26</f>
        <v>1.1102230246168291E-16</v>
      </c>
      <c r="BF51" s="3"/>
      <c r="BG51" s="3"/>
      <c r="BH51" s="3"/>
      <c r="BI51" s="65">
        <f t="shared" si="5"/>
        <v>1.9999999999999996</v>
      </c>
      <c r="BJ51" s="3">
        <f t="shared" si="1"/>
        <v>0.9999999999999998</v>
      </c>
      <c r="BK51" s="3">
        <f t="shared" si="2"/>
        <v>0.9999999999999998</v>
      </c>
      <c r="BL51" s="3">
        <f t="shared" si="3"/>
        <v>0.9999999999999998</v>
      </c>
      <c r="BM51" s="3"/>
      <c r="BN51" s="3"/>
      <c r="BO51" s="61"/>
    </row>
    <row r="52" spans="23:67" ht="11.25">
      <c r="W52" s="135"/>
      <c r="X52" s="135"/>
      <c r="Y52" s="6"/>
      <c r="Z52" s="6"/>
      <c r="AC52" s="9"/>
      <c r="AD52" s="9"/>
      <c r="AE52" s="9"/>
      <c r="AF52" s="85"/>
      <c r="AR52" s="2" t="s">
        <v>5</v>
      </c>
      <c r="AS52" s="2" t="s">
        <v>41</v>
      </c>
      <c r="AT52" s="95">
        <v>33.3</v>
      </c>
      <c r="AU52" s="4">
        <v>0.9999999999999996</v>
      </c>
      <c r="AV52" s="42">
        <f t="shared" si="6"/>
        <v>33.29999999999998</v>
      </c>
      <c r="BB52" s="4" t="s">
        <v>39</v>
      </c>
      <c r="BC52" s="3">
        <f>$Z$24</f>
        <v>0</v>
      </c>
      <c r="BD52" s="3">
        <f>$AA$25</f>
        <v>2.22044701543723E-16</v>
      </c>
      <c r="BE52" s="3">
        <f>$AB$24</f>
        <v>1</v>
      </c>
      <c r="BF52" s="3">
        <f>$AB$20</f>
        <v>0.9999999999999998</v>
      </c>
      <c r="BG52" s="3"/>
      <c r="BH52" s="3"/>
      <c r="BI52" s="65">
        <f t="shared" si="5"/>
        <v>2</v>
      </c>
      <c r="BJ52" s="3">
        <f t="shared" si="1"/>
        <v>1</v>
      </c>
      <c r="BK52" s="3">
        <f t="shared" si="2"/>
        <v>1</v>
      </c>
      <c r="BL52" s="3">
        <f t="shared" si="3"/>
        <v>1</v>
      </c>
      <c r="BM52" s="3"/>
      <c r="BN52" s="3"/>
      <c r="BO52" s="61"/>
    </row>
    <row r="53" spans="29:67" ht="11.25">
      <c r="AC53" s="9"/>
      <c r="AD53" s="9"/>
      <c r="AE53" s="9"/>
      <c r="AF53" s="85"/>
      <c r="AG53" s="9"/>
      <c r="AH53" s="9"/>
      <c r="AI53" s="9"/>
      <c r="AR53" s="2" t="s">
        <v>150</v>
      </c>
      <c r="AS53" s="2" t="s">
        <v>27</v>
      </c>
      <c r="AT53" s="95">
        <f>36.2-3.3</f>
        <v>32.900000000000006</v>
      </c>
      <c r="AU53" s="4">
        <v>2.1115331705345852E-12</v>
      </c>
      <c r="AV53" s="42">
        <f t="shared" si="6"/>
        <v>6.946944131058786E-11</v>
      </c>
      <c r="BB53" s="4" t="s">
        <v>128</v>
      </c>
      <c r="BC53" s="3">
        <f>$AD$28</f>
        <v>1</v>
      </c>
      <c r="BD53" s="3">
        <f>$AF$28</f>
        <v>0.9999999999999997</v>
      </c>
      <c r="BE53" s="3">
        <f>$AF$27</f>
        <v>0</v>
      </c>
      <c r="BF53" s="3"/>
      <c r="BG53" s="3"/>
      <c r="BH53" s="3"/>
      <c r="BI53" s="65">
        <f t="shared" si="5"/>
        <v>1.9999999999999996</v>
      </c>
      <c r="BJ53" s="3">
        <f t="shared" si="1"/>
        <v>0.9999999999999998</v>
      </c>
      <c r="BK53" s="3">
        <f t="shared" si="2"/>
        <v>0.9999999999999998</v>
      </c>
      <c r="BL53" s="3">
        <f t="shared" si="3"/>
        <v>0.9999999999999998</v>
      </c>
      <c r="BM53" s="3"/>
      <c r="BN53" s="3"/>
      <c r="BO53" s="61"/>
    </row>
    <row r="54" spans="23:67" ht="11.25">
      <c r="W54" s="3"/>
      <c r="X54" s="3"/>
      <c r="Y54" s="3"/>
      <c r="Z54" s="3"/>
      <c r="AC54" s="9"/>
      <c r="AD54" s="9"/>
      <c r="AE54" s="9"/>
      <c r="AF54" s="9"/>
      <c r="AG54" s="9"/>
      <c r="AH54" s="9"/>
      <c r="AI54" s="9"/>
      <c r="AR54" s="2" t="s">
        <v>125</v>
      </c>
      <c r="AS54" s="2" t="s">
        <v>136</v>
      </c>
      <c r="AT54" s="95">
        <v>32.9</v>
      </c>
      <c r="AU54" s="4">
        <v>2.4343769503636054E-15</v>
      </c>
      <c r="AV54" s="42">
        <f t="shared" si="6"/>
        <v>8.009100166696261E-14</v>
      </c>
      <c r="BB54" s="4" t="s">
        <v>1</v>
      </c>
      <c r="BC54" s="3">
        <f>$AE$31</f>
        <v>0</v>
      </c>
      <c r="BD54" s="3">
        <f>$AC$29</f>
        <v>1</v>
      </c>
      <c r="BE54" s="3">
        <f>$AB$32</f>
        <v>0.9999999999999994</v>
      </c>
      <c r="BF54" s="3">
        <f>AB30</f>
        <v>0</v>
      </c>
      <c r="BG54" s="3">
        <f>Y28</f>
        <v>2.220446101036888E-16</v>
      </c>
      <c r="BH54" s="3"/>
      <c r="BI54" s="65">
        <f t="shared" si="5"/>
        <v>1.9999999999999998</v>
      </c>
      <c r="BJ54" s="3">
        <f t="shared" si="1"/>
        <v>0.9999999999999999</v>
      </c>
      <c r="BK54" s="3">
        <f t="shared" si="2"/>
        <v>0.9999999999999999</v>
      </c>
      <c r="BL54" s="3">
        <f t="shared" si="3"/>
        <v>0.9999999999999999</v>
      </c>
      <c r="BM54" s="3"/>
      <c r="BN54" s="3"/>
      <c r="BO54" s="61"/>
    </row>
    <row r="55" spans="23:67" ht="11.25">
      <c r="W55" s="3"/>
      <c r="X55" s="3"/>
      <c r="Y55" s="3"/>
      <c r="Z55" s="3"/>
      <c r="AC55" s="9"/>
      <c r="AD55" s="9"/>
      <c r="AE55" s="9"/>
      <c r="AF55" s="9"/>
      <c r="AG55" s="9"/>
      <c r="AH55" s="9"/>
      <c r="AI55" s="9"/>
      <c r="AJ55" s="9"/>
      <c r="AK55" s="9"/>
      <c r="AL55" s="9"/>
      <c r="AR55" s="2" t="s">
        <v>87</v>
      </c>
      <c r="AS55" s="2" t="s">
        <v>121</v>
      </c>
      <c r="AT55" s="95">
        <v>30.6</v>
      </c>
      <c r="AU55" s="4">
        <v>1</v>
      </c>
      <c r="AV55" s="42">
        <f t="shared" si="6"/>
        <v>30.6</v>
      </c>
      <c r="BB55" s="4" t="s">
        <v>32</v>
      </c>
      <c r="BC55" s="3">
        <f>$AC$29</f>
        <v>1</v>
      </c>
      <c r="BD55" s="3">
        <f>$AD$28</f>
        <v>1</v>
      </c>
      <c r="BE55" s="3">
        <f>$AC$26</f>
        <v>1.1102230246168291E-16</v>
      </c>
      <c r="BF55" s="3"/>
      <c r="BG55" s="3"/>
      <c r="BH55" s="3"/>
      <c r="BI55" s="65">
        <f t="shared" si="5"/>
        <v>2</v>
      </c>
      <c r="BJ55" s="3">
        <f t="shared" si="1"/>
        <v>1</v>
      </c>
      <c r="BK55" s="3">
        <f t="shared" si="2"/>
        <v>1</v>
      </c>
      <c r="BL55" s="3">
        <f t="shared" si="3"/>
        <v>1</v>
      </c>
      <c r="BM55" s="3"/>
      <c r="BN55" s="3"/>
      <c r="BO55" s="61"/>
    </row>
    <row r="56" spans="23:67" ht="11.25">
      <c r="W56" s="3"/>
      <c r="X56" s="3"/>
      <c r="Y56" s="3"/>
      <c r="Z56" s="3"/>
      <c r="AC56" s="9"/>
      <c r="AD56" s="9"/>
      <c r="AE56" s="9"/>
      <c r="AF56" s="85"/>
      <c r="AG56" s="9"/>
      <c r="AH56" s="9"/>
      <c r="AI56" s="9"/>
      <c r="AJ56" s="9"/>
      <c r="AK56" s="9"/>
      <c r="AL56" s="9"/>
      <c r="AR56" s="2" t="s">
        <v>41</v>
      </c>
      <c r="AS56" s="2" t="s">
        <v>40</v>
      </c>
      <c r="AT56" s="95">
        <v>27.7</v>
      </c>
      <c r="AU56" s="4">
        <v>1</v>
      </c>
      <c r="AV56" s="42">
        <f t="shared" si="6"/>
        <v>27.7</v>
      </c>
      <c r="BB56" s="4" t="s">
        <v>37</v>
      </c>
      <c r="BC56" s="3">
        <f>$AA$25</f>
        <v>2.22044701543723E-16</v>
      </c>
      <c r="BD56" s="3">
        <f>$Z$25</f>
        <v>0.9999999999999998</v>
      </c>
      <c r="BE56" s="3">
        <f>$AA$27</f>
        <v>1</v>
      </c>
      <c r="BF56" s="3"/>
      <c r="BG56" s="3"/>
      <c r="BH56" s="3"/>
      <c r="BI56" s="65">
        <f t="shared" si="5"/>
        <v>2</v>
      </c>
      <c r="BJ56" s="3">
        <f t="shared" si="1"/>
        <v>1</v>
      </c>
      <c r="BK56" s="3">
        <f t="shared" si="2"/>
        <v>1</v>
      </c>
      <c r="BL56" s="3">
        <f t="shared" si="3"/>
        <v>1</v>
      </c>
      <c r="BM56" s="3"/>
      <c r="BN56" s="3"/>
      <c r="BO56" s="61"/>
    </row>
    <row r="57" spans="23:67" ht="11.25">
      <c r="W57" s="3"/>
      <c r="X57" s="3"/>
      <c r="Y57" s="3"/>
      <c r="Z57" s="3"/>
      <c r="AC57" s="9"/>
      <c r="AD57" s="9"/>
      <c r="AE57" s="9"/>
      <c r="AF57" s="85"/>
      <c r="AJ57" s="9"/>
      <c r="AK57" s="9"/>
      <c r="AL57" s="9"/>
      <c r="AR57" s="2" t="s">
        <v>139</v>
      </c>
      <c r="AS57" s="2" t="s">
        <v>146</v>
      </c>
      <c r="AT57" s="95">
        <v>27.3</v>
      </c>
      <c r="AU57" s="4">
        <v>0.9999999999912265</v>
      </c>
      <c r="AV57" s="42">
        <f t="shared" si="6"/>
        <v>27.299999999760484</v>
      </c>
      <c r="BB57" s="104" t="s">
        <v>209</v>
      </c>
      <c r="BC57" s="3">
        <f>AB30</f>
        <v>0</v>
      </c>
      <c r="BD57" s="3">
        <f>AA27</f>
        <v>1</v>
      </c>
      <c r="BE57" s="3">
        <f>Y31</f>
        <v>0.9999999999994453</v>
      </c>
      <c r="BF57" s="3">
        <f>AA29</f>
        <v>5.540012893121029E-13</v>
      </c>
      <c r="BG57" s="3"/>
      <c r="BH57" s="3"/>
      <c r="BI57" s="65">
        <f>SUM(BC57:BH57)</f>
        <v>1.9999999999999993</v>
      </c>
      <c r="BJ57" s="3">
        <f>BI57/2</f>
        <v>0.9999999999999997</v>
      </c>
      <c r="BK57" s="3">
        <f>BI57/2</f>
        <v>0.9999999999999997</v>
      </c>
      <c r="BL57" s="3">
        <f>BI57/2</f>
        <v>0.9999999999999997</v>
      </c>
      <c r="BM57" s="3"/>
      <c r="BN57" s="3"/>
      <c r="BO57" s="61"/>
    </row>
    <row r="58" spans="23:67" ht="11.25">
      <c r="W58" s="3"/>
      <c r="X58" s="3"/>
      <c r="Y58" s="3"/>
      <c r="Z58" s="3"/>
      <c r="AC58" s="9"/>
      <c r="AD58" s="9"/>
      <c r="AE58" s="9"/>
      <c r="AF58" s="9"/>
      <c r="AJ58" s="9"/>
      <c r="AK58" s="9"/>
      <c r="AL58" s="9"/>
      <c r="AR58" s="2" t="s">
        <v>37</v>
      </c>
      <c r="AS58" s="103" t="s">
        <v>209</v>
      </c>
      <c r="AT58" s="101">
        <v>20.4</v>
      </c>
      <c r="AU58" s="4">
        <v>1</v>
      </c>
      <c r="AV58" s="42">
        <f t="shared" si="6"/>
        <v>20.4</v>
      </c>
      <c r="BB58" s="4" t="s">
        <v>36</v>
      </c>
      <c r="BC58" s="3">
        <f>$AA$29</f>
        <v>5.540012893121029E-13</v>
      </c>
      <c r="BD58" s="3">
        <f>$AA$31</f>
        <v>1</v>
      </c>
      <c r="BE58" s="3">
        <f>$Z$31</f>
        <v>0.9999999999994466</v>
      </c>
      <c r="BF58" s="3"/>
      <c r="BG58" s="3"/>
      <c r="BH58" s="3"/>
      <c r="BI58" s="65">
        <f aca="true" t="shared" si="7" ref="BI58:BI66">SUM(BC58:BH58)</f>
        <v>2.0000000000000004</v>
      </c>
      <c r="BJ58" s="3">
        <f aca="true" t="shared" si="8" ref="BJ58:BJ67">BI58/2</f>
        <v>1.0000000000000002</v>
      </c>
      <c r="BK58" s="3">
        <f aca="true" t="shared" si="9" ref="BK58:BK67">BI58/2</f>
        <v>1.0000000000000002</v>
      </c>
      <c r="BL58" s="3">
        <f aca="true" t="shared" si="10" ref="BL58:BL67">BI58/2</f>
        <v>1.0000000000000002</v>
      </c>
      <c r="BM58" s="3"/>
      <c r="BN58" s="3"/>
      <c r="BO58" s="61"/>
    </row>
    <row r="59" spans="29:67" ht="11.25">
      <c r="AC59" s="9"/>
      <c r="AD59" s="9"/>
      <c r="AE59" s="9"/>
      <c r="AF59" s="9"/>
      <c r="AR59" s="103" t="s">
        <v>209</v>
      </c>
      <c r="AS59" s="2" t="s">
        <v>36</v>
      </c>
      <c r="AT59" s="101">
        <v>5.8</v>
      </c>
      <c r="AU59" s="4">
        <v>5.540012893121029E-13</v>
      </c>
      <c r="AV59" s="42">
        <f>AT59*AU59</f>
        <v>3.2132074780101966E-12</v>
      </c>
      <c r="BB59" s="4" t="s">
        <v>2</v>
      </c>
      <c r="BC59" s="3">
        <f>$Z$32</f>
        <v>2.7755575616631595E-16</v>
      </c>
      <c r="BD59" s="3">
        <f>$AA$31</f>
        <v>1</v>
      </c>
      <c r="BE59" s="3">
        <f>$AB$32</f>
        <v>0.9999999999999994</v>
      </c>
      <c r="BF59" s="3"/>
      <c r="BG59" s="3"/>
      <c r="BH59" s="3"/>
      <c r="BI59" s="65">
        <f t="shared" si="7"/>
        <v>1.9999999999999996</v>
      </c>
      <c r="BJ59" s="3">
        <f t="shared" si="8"/>
        <v>0.9999999999999998</v>
      </c>
      <c r="BK59" s="3">
        <f t="shared" si="9"/>
        <v>0.9999999999999998</v>
      </c>
      <c r="BL59" s="3">
        <f t="shared" si="10"/>
        <v>0.9999999999999998</v>
      </c>
      <c r="BM59" s="3"/>
      <c r="BN59" s="3"/>
      <c r="BO59" s="61"/>
    </row>
    <row r="60" spans="29:67" ht="11.25">
      <c r="AC60" s="9"/>
      <c r="AD60" s="9"/>
      <c r="AE60" s="9"/>
      <c r="AF60" s="85"/>
      <c r="AR60" s="103" t="s">
        <v>209</v>
      </c>
      <c r="AS60" s="2" t="s">
        <v>3</v>
      </c>
      <c r="AT60" s="101">
        <v>7.8</v>
      </c>
      <c r="AU60" s="4">
        <v>0.9999999999994453</v>
      </c>
      <c r="AV60" s="42">
        <f>AT60*AU60</f>
        <v>7.7999999999956735</v>
      </c>
      <c r="BB60" s="4" t="s">
        <v>83</v>
      </c>
      <c r="BC60" s="3">
        <f>$I$11</f>
        <v>4.4408417003765603E-16</v>
      </c>
      <c r="BD60" s="3">
        <f>$F$14</f>
        <v>1</v>
      </c>
      <c r="BE60" s="3">
        <f>$G$13</f>
        <v>1</v>
      </c>
      <c r="BF60" s="3"/>
      <c r="BG60" s="3"/>
      <c r="BH60" s="3"/>
      <c r="BI60" s="65">
        <f t="shared" si="7"/>
        <v>2.0000000000000004</v>
      </c>
      <c r="BJ60" s="3">
        <f t="shared" si="8"/>
        <v>1.0000000000000002</v>
      </c>
      <c r="BK60" s="3">
        <f t="shared" si="9"/>
        <v>1.0000000000000002</v>
      </c>
      <c r="BL60" s="3">
        <f t="shared" si="10"/>
        <v>1.0000000000000002</v>
      </c>
      <c r="BM60" s="3"/>
      <c r="BN60" s="3"/>
      <c r="BO60" s="61"/>
    </row>
    <row r="61" spans="29:67" ht="11.25">
      <c r="AC61" s="9"/>
      <c r="AD61" s="9"/>
      <c r="AE61" s="9"/>
      <c r="AF61" s="9"/>
      <c r="AR61" s="2" t="s">
        <v>139</v>
      </c>
      <c r="AS61" s="2" t="s">
        <v>98</v>
      </c>
      <c r="AT61" s="95">
        <f>271.7-245.7</f>
        <v>26</v>
      </c>
      <c r="AU61" s="4">
        <v>0.9999999999755732</v>
      </c>
      <c r="AV61" s="42">
        <f aca="true" t="shared" si="11" ref="AV61:AV70">AT61*AU61</f>
        <v>25.999999999364903</v>
      </c>
      <c r="BB61" s="4" t="s">
        <v>95</v>
      </c>
      <c r="BC61" s="3">
        <f>$G$13</f>
        <v>1</v>
      </c>
      <c r="BD61" s="3">
        <f>$G$15</f>
        <v>7.771561172389776E-16</v>
      </c>
      <c r="BE61" s="3">
        <f>$K$13</f>
        <v>1</v>
      </c>
      <c r="BF61" s="3"/>
      <c r="BG61" s="3"/>
      <c r="BH61" s="3"/>
      <c r="BI61" s="65">
        <f t="shared" si="7"/>
        <v>2.000000000000001</v>
      </c>
      <c r="BJ61" s="3">
        <f t="shared" si="8"/>
        <v>1.0000000000000004</v>
      </c>
      <c r="BK61" s="3">
        <f t="shared" si="9"/>
        <v>1.0000000000000004</v>
      </c>
      <c r="BL61" s="3">
        <f t="shared" si="10"/>
        <v>1.0000000000000004</v>
      </c>
      <c r="BM61" s="3"/>
      <c r="BN61" s="3"/>
      <c r="BO61" s="61"/>
    </row>
    <row r="62" spans="29:67" ht="11.25">
      <c r="AC62" s="9"/>
      <c r="AD62" s="9"/>
      <c r="AE62" s="9"/>
      <c r="AF62" s="9"/>
      <c r="AR62" s="2" t="s">
        <v>39</v>
      </c>
      <c r="AS62" s="2" t="s">
        <v>86</v>
      </c>
      <c r="AT62" s="95">
        <f>29.8-3.9</f>
        <v>25.900000000000002</v>
      </c>
      <c r="AU62" s="4">
        <v>0.9999999999999998</v>
      </c>
      <c r="AV62" s="42">
        <f t="shared" si="11"/>
        <v>25.899999999999995</v>
      </c>
      <c r="BB62" s="4" t="s">
        <v>82</v>
      </c>
      <c r="BC62" s="3">
        <f>$G$15</f>
        <v>7.771561172389776E-16</v>
      </c>
      <c r="BD62" s="3">
        <f>$F$18</f>
        <v>0.9999999999999991</v>
      </c>
      <c r="BE62" s="3">
        <f>$H$16</f>
        <v>1</v>
      </c>
      <c r="BF62" s="3"/>
      <c r="BG62" s="3"/>
      <c r="BH62" s="3"/>
      <c r="BI62" s="65">
        <f t="shared" si="7"/>
        <v>2</v>
      </c>
      <c r="BJ62" s="3">
        <f t="shared" si="8"/>
        <v>1</v>
      </c>
      <c r="BK62" s="3">
        <f t="shared" si="9"/>
        <v>1</v>
      </c>
      <c r="BL62" s="3">
        <f t="shared" si="10"/>
        <v>1</v>
      </c>
      <c r="BM62" s="3"/>
      <c r="BN62" s="3"/>
      <c r="BO62" s="61"/>
    </row>
    <row r="63" spans="29:67" ht="11.25">
      <c r="AC63" s="9"/>
      <c r="AD63" s="9"/>
      <c r="AE63" s="9"/>
      <c r="AF63" s="9"/>
      <c r="AR63" s="2" t="s">
        <v>85</v>
      </c>
      <c r="AS63" s="2" t="s">
        <v>124</v>
      </c>
      <c r="AT63" s="95">
        <f>57.5-31.7</f>
        <v>25.8</v>
      </c>
      <c r="AU63" s="4">
        <v>1</v>
      </c>
      <c r="AV63" s="42">
        <f t="shared" si="11"/>
        <v>25.8</v>
      </c>
      <c r="BB63" s="4" t="s">
        <v>46</v>
      </c>
      <c r="BC63" s="3">
        <f>$F$22</f>
        <v>0.9999999999999978</v>
      </c>
      <c r="BD63" s="3">
        <f>$H$22</f>
        <v>1.942890293701871E-15</v>
      </c>
      <c r="BE63" s="3">
        <f>$G$23</f>
        <v>1</v>
      </c>
      <c r="BF63" s="3"/>
      <c r="BG63" s="3"/>
      <c r="BH63" s="3"/>
      <c r="BI63" s="65">
        <f t="shared" si="7"/>
        <v>1.9999999999999998</v>
      </c>
      <c r="BJ63" s="3">
        <f t="shared" si="8"/>
        <v>0.9999999999999999</v>
      </c>
      <c r="BK63" s="3">
        <f t="shared" si="9"/>
        <v>0.9999999999999999</v>
      </c>
      <c r="BL63" s="3">
        <f t="shared" si="10"/>
        <v>0.9999999999999999</v>
      </c>
      <c r="BM63" s="3"/>
      <c r="BN63" s="3"/>
      <c r="BO63" s="61"/>
    </row>
    <row r="64" spans="29:67" ht="11.25">
      <c r="AC64" s="9"/>
      <c r="AD64" s="9"/>
      <c r="AE64" s="9"/>
      <c r="AF64" s="9"/>
      <c r="AR64" s="2" t="s">
        <v>98</v>
      </c>
      <c r="AS64" s="2" t="s">
        <v>141</v>
      </c>
      <c r="AT64" s="95">
        <f>40.1-15.2</f>
        <v>24.900000000000002</v>
      </c>
      <c r="AU64" s="4">
        <v>0.9999999999933378</v>
      </c>
      <c r="AV64" s="42">
        <f t="shared" si="11"/>
        <v>24.89999999983411</v>
      </c>
      <c r="BB64" s="4" t="s">
        <v>44</v>
      </c>
      <c r="BC64" s="3">
        <f>$G$23</f>
        <v>1</v>
      </c>
      <c r="BD64" s="3">
        <f>$F$23</f>
        <v>-2.434198034887882E-23</v>
      </c>
      <c r="BE64" s="3">
        <f>$G$27</f>
        <v>1</v>
      </c>
      <c r="BF64" s="3"/>
      <c r="BG64" s="3"/>
      <c r="BH64" s="3"/>
      <c r="BI64" s="65">
        <f t="shared" si="7"/>
        <v>2</v>
      </c>
      <c r="BJ64" s="3">
        <f t="shared" si="8"/>
        <v>1</v>
      </c>
      <c r="BK64" s="3">
        <f t="shared" si="9"/>
        <v>1</v>
      </c>
      <c r="BL64" s="3">
        <f t="shared" si="10"/>
        <v>1</v>
      </c>
      <c r="BM64" s="3"/>
      <c r="BN64" s="3"/>
      <c r="BO64" s="61"/>
    </row>
    <row r="65" spans="29:67" ht="11.25">
      <c r="AC65" s="9"/>
      <c r="AD65" s="9"/>
      <c r="AE65" s="9"/>
      <c r="AF65" s="9"/>
      <c r="AR65" s="2" t="s">
        <v>143</v>
      </c>
      <c r="AS65" s="2" t="s">
        <v>142</v>
      </c>
      <c r="AT65" s="95">
        <v>23.2</v>
      </c>
      <c r="AU65" s="4">
        <v>4.111488927094342E-12</v>
      </c>
      <c r="AV65" s="42">
        <f t="shared" si="11"/>
        <v>9.538654310858874E-11</v>
      </c>
      <c r="BB65" s="4" t="s">
        <v>9</v>
      </c>
      <c r="BC65" s="3">
        <f>$G$27</f>
        <v>1</v>
      </c>
      <c r="BD65" s="3">
        <f>$H$30</f>
        <v>0.99999999999889</v>
      </c>
      <c r="BE65" s="3">
        <f>$F$30</f>
        <v>1.1101952690403012E-12</v>
      </c>
      <c r="BF65" s="3"/>
      <c r="BG65" s="3"/>
      <c r="BH65" s="3"/>
      <c r="BI65" s="65">
        <f t="shared" si="7"/>
        <v>2</v>
      </c>
      <c r="BJ65" s="3">
        <f t="shared" si="8"/>
        <v>1</v>
      </c>
      <c r="BK65" s="3">
        <f t="shared" si="9"/>
        <v>1</v>
      </c>
      <c r="BL65" s="3">
        <f t="shared" si="10"/>
        <v>1</v>
      </c>
      <c r="BM65" s="3"/>
      <c r="BN65" s="3"/>
      <c r="BO65" s="61"/>
    </row>
    <row r="66" spans="29:67" ht="11.25">
      <c r="AC66" s="9"/>
      <c r="AD66" s="9"/>
      <c r="AE66" s="9"/>
      <c r="AF66" s="85"/>
      <c r="AR66" s="2" t="s">
        <v>141</v>
      </c>
      <c r="AS66" s="2" t="s">
        <v>143</v>
      </c>
      <c r="AT66" s="95">
        <v>23.2</v>
      </c>
      <c r="AU66" s="4">
        <v>0.9999999999999999</v>
      </c>
      <c r="AV66" s="42">
        <f t="shared" si="11"/>
        <v>23.199999999999996</v>
      </c>
      <c r="BB66" s="4" t="s">
        <v>79</v>
      </c>
      <c r="BC66" s="3">
        <f>$E$18</f>
        <v>0.9999999999999999</v>
      </c>
      <c r="BD66" s="3">
        <f>$F$18</f>
        <v>0.9999999999999991</v>
      </c>
      <c r="BE66" s="3">
        <f>$E$21</f>
        <v>2.2204460492423633E-15</v>
      </c>
      <c r="BF66" s="3"/>
      <c r="BG66" s="3"/>
      <c r="BH66" s="3"/>
      <c r="BI66" s="65">
        <f t="shared" si="7"/>
        <v>2.0000000000000013</v>
      </c>
      <c r="BJ66" s="3">
        <f t="shared" si="8"/>
        <v>1.0000000000000007</v>
      </c>
      <c r="BK66" s="3">
        <f t="shared" si="9"/>
        <v>1.0000000000000007</v>
      </c>
      <c r="BL66" s="3">
        <f t="shared" si="10"/>
        <v>1.0000000000000007</v>
      </c>
      <c r="BM66" s="3"/>
      <c r="BN66" s="3"/>
      <c r="BO66" s="61"/>
    </row>
    <row r="67" spans="29:67" ht="11.25">
      <c r="AC67" s="9"/>
      <c r="AD67" s="9"/>
      <c r="AE67" s="9"/>
      <c r="AF67" s="9"/>
      <c r="AR67" s="2" t="s">
        <v>33</v>
      </c>
      <c r="AS67" s="2" t="s">
        <v>39</v>
      </c>
      <c r="AT67" s="95">
        <v>22.5</v>
      </c>
      <c r="AU67" s="4">
        <v>1</v>
      </c>
      <c r="AV67" s="42">
        <f t="shared" si="11"/>
        <v>22.5</v>
      </c>
      <c r="BB67" s="4" t="s">
        <v>45</v>
      </c>
      <c r="BC67" s="3">
        <f>$E$21</f>
        <v>2.2204460492423633E-15</v>
      </c>
      <c r="BD67" s="3">
        <f>$F$22</f>
        <v>0.9999999999999978</v>
      </c>
      <c r="BE67" s="3">
        <f>$F$23</f>
        <v>-2.434198034887882E-23</v>
      </c>
      <c r="BF67" s="3">
        <f>$E$24</f>
        <v>1</v>
      </c>
      <c r="BG67" s="3"/>
      <c r="BH67" s="3"/>
      <c r="BI67" s="65">
        <f aca="true" t="shared" si="12" ref="BI67:BI83">SUM(BC67:BH67)</f>
        <v>2</v>
      </c>
      <c r="BJ67" s="3">
        <f t="shared" si="8"/>
        <v>1</v>
      </c>
      <c r="BK67" s="3">
        <f t="shared" si="9"/>
        <v>1</v>
      </c>
      <c r="BL67" s="3">
        <f t="shared" si="10"/>
        <v>1</v>
      </c>
      <c r="BM67" s="3">
        <f>BI67/2</f>
        <v>1</v>
      </c>
      <c r="BN67" s="3"/>
      <c r="BO67" s="61"/>
    </row>
    <row r="68" spans="29:67" ht="11.25">
      <c r="AC68" s="9"/>
      <c r="AD68" s="9"/>
      <c r="AE68" s="9"/>
      <c r="AF68" s="9"/>
      <c r="AR68" s="2" t="s">
        <v>1</v>
      </c>
      <c r="AS68" s="2" t="s">
        <v>40</v>
      </c>
      <c r="AT68" s="95">
        <v>22</v>
      </c>
      <c r="AU68" s="4">
        <v>2.220446101036888E-16</v>
      </c>
      <c r="AV68" s="42">
        <f t="shared" si="11"/>
        <v>4.8849814222811535E-15</v>
      </c>
      <c r="BB68" s="4" t="s">
        <v>80</v>
      </c>
      <c r="BC68" s="3">
        <f>$E$18</f>
        <v>0.9999999999999999</v>
      </c>
      <c r="BD68" s="3">
        <f>$C$16</f>
        <v>0</v>
      </c>
      <c r="BE68" s="3">
        <f>$F$14</f>
        <v>1</v>
      </c>
      <c r="BF68" s="3"/>
      <c r="BG68" s="3"/>
      <c r="BH68" s="3"/>
      <c r="BI68" s="65">
        <f t="shared" si="12"/>
        <v>2</v>
      </c>
      <c r="BJ68" s="3">
        <f aca="true" t="shared" si="13" ref="BJ68:BJ83">BI68/2</f>
        <v>1</v>
      </c>
      <c r="BK68" s="3">
        <f aca="true" t="shared" si="14" ref="BK68:BK83">BI68/2</f>
        <v>1</v>
      </c>
      <c r="BL68" s="3">
        <f aca="true" t="shared" si="15" ref="BL68:BL83">BI68/2</f>
        <v>1</v>
      </c>
      <c r="BM68" s="3"/>
      <c r="BN68" s="3"/>
      <c r="BO68" s="61"/>
    </row>
    <row r="69" spans="29:67" ht="11.25">
      <c r="AC69" s="9"/>
      <c r="AD69" s="9"/>
      <c r="AE69" s="9"/>
      <c r="AF69" s="9"/>
      <c r="AR69" s="2" t="s">
        <v>137</v>
      </c>
      <c r="AS69" s="2" t="s">
        <v>138</v>
      </c>
      <c r="AT69" s="95">
        <v>21.6</v>
      </c>
      <c r="AU69" s="4">
        <v>6.106226809259967E-16</v>
      </c>
      <c r="AV69" s="42">
        <f t="shared" si="11"/>
        <v>1.3189449908001531E-14</v>
      </c>
      <c r="BB69" s="4" t="s">
        <v>139</v>
      </c>
      <c r="BC69" s="3">
        <f>$P$4</f>
        <v>0</v>
      </c>
      <c r="BD69" s="3">
        <f>$O$5</f>
        <v>0.9999999999755732</v>
      </c>
      <c r="BE69" s="3">
        <f>$N$5</f>
        <v>0.9999999999912265</v>
      </c>
      <c r="BF69" s="3"/>
      <c r="BG69" s="3"/>
      <c r="BH69" s="3"/>
      <c r="BI69" s="65">
        <f t="shared" si="12"/>
        <v>1.9999999999667997</v>
      </c>
      <c r="BJ69" s="3">
        <f t="shared" si="13"/>
        <v>0.9999999999833998</v>
      </c>
      <c r="BK69" s="3">
        <f t="shared" si="14"/>
        <v>0.9999999999833998</v>
      </c>
      <c r="BL69" s="3">
        <f t="shared" si="15"/>
        <v>0.9999999999833998</v>
      </c>
      <c r="BM69" s="3"/>
      <c r="BN69" s="3"/>
      <c r="BO69" s="61"/>
    </row>
    <row r="70" spans="29:67" ht="11.25">
      <c r="AC70" s="9"/>
      <c r="AD70" s="9"/>
      <c r="AE70" s="9"/>
      <c r="AF70" s="9"/>
      <c r="AR70" s="2" t="s">
        <v>122</v>
      </c>
      <c r="AS70" s="2" t="s">
        <v>121</v>
      </c>
      <c r="AT70" s="95">
        <v>21.2</v>
      </c>
      <c r="AU70" s="4">
        <v>5.828627970913706E-16</v>
      </c>
      <c r="AV70" s="42">
        <f t="shared" si="11"/>
        <v>1.2356691298337056E-14</v>
      </c>
      <c r="BB70" s="4" t="s">
        <v>96</v>
      </c>
      <c r="BC70" s="3">
        <f>$M$11</f>
        <v>0.9999999999934478</v>
      </c>
      <c r="BD70" s="3">
        <f>$N$12</f>
        <v>0</v>
      </c>
      <c r="BE70" s="3">
        <f>$L$11</f>
        <v>0.9999999999999992</v>
      </c>
      <c r="BF70" s="3"/>
      <c r="BG70" s="3"/>
      <c r="BH70" s="3"/>
      <c r="BI70" s="65">
        <f t="shared" si="12"/>
        <v>1.999999999993447</v>
      </c>
      <c r="BJ70" s="3">
        <f t="shared" si="13"/>
        <v>0.9999999999967235</v>
      </c>
      <c r="BK70" s="3">
        <f t="shared" si="14"/>
        <v>0.9999999999967235</v>
      </c>
      <c r="BL70" s="3">
        <f t="shared" si="15"/>
        <v>0.9999999999967235</v>
      </c>
      <c r="BM70" s="3"/>
      <c r="BN70" s="3"/>
      <c r="BO70" s="61"/>
    </row>
    <row r="71" spans="44:67" ht="11.25">
      <c r="AR71" s="2" t="s">
        <v>120</v>
      </c>
      <c r="AS71" s="2" t="s">
        <v>124</v>
      </c>
      <c r="AT71" s="95">
        <f>15.5+5.2</f>
        <v>20.7</v>
      </c>
      <c r="AU71" s="4">
        <v>1.887378405691408E-15</v>
      </c>
      <c r="AV71" s="42">
        <f aca="true" t="shared" si="16" ref="AV71:AV102">AT71*AU71</f>
        <v>3.9068732997812147E-14</v>
      </c>
      <c r="BB71" s="4" t="s">
        <v>146</v>
      </c>
      <c r="BC71" s="3">
        <f>$N$6</f>
        <v>0</v>
      </c>
      <c r="BD71" s="3">
        <f>$N$5</f>
        <v>0.9999999999912265</v>
      </c>
      <c r="BE71" s="3">
        <f>$M$7</f>
        <v>1</v>
      </c>
      <c r="BF71" s="3">
        <f>$L$7</f>
        <v>4.002687070681077E-12</v>
      </c>
      <c r="BG71" s="3"/>
      <c r="BH71" s="3"/>
      <c r="BI71" s="65">
        <f t="shared" si="12"/>
        <v>1.9999999999952291</v>
      </c>
      <c r="BJ71" s="3">
        <f t="shared" si="13"/>
        <v>0.9999999999976146</v>
      </c>
      <c r="BK71" s="3">
        <f t="shared" si="14"/>
        <v>0.9999999999976146</v>
      </c>
      <c r="BL71" s="3">
        <f t="shared" si="15"/>
        <v>0.9999999999976146</v>
      </c>
      <c r="BM71" s="3">
        <f>BI71/2</f>
        <v>0.9999999999976146</v>
      </c>
      <c r="BN71" s="3"/>
      <c r="BO71" s="61"/>
    </row>
    <row r="72" spans="44:67" ht="11.25">
      <c r="AR72" s="2" t="s">
        <v>8</v>
      </c>
      <c r="AS72" s="2" t="s">
        <v>14</v>
      </c>
      <c r="AT72" s="95">
        <v>20</v>
      </c>
      <c r="AU72" s="4">
        <v>0.9999999999988924</v>
      </c>
      <c r="AV72" s="42">
        <f t="shared" si="16"/>
        <v>19.99999999997785</v>
      </c>
      <c r="BB72" s="4" t="s">
        <v>98</v>
      </c>
      <c r="BC72" s="3">
        <f>$O$5</f>
        <v>0.9999999999755732</v>
      </c>
      <c r="BD72" s="3">
        <f>$N$6</f>
        <v>0</v>
      </c>
      <c r="BE72" s="3">
        <f>$O$7</f>
        <v>0.9999999999933378</v>
      </c>
      <c r="BF72" s="3">
        <f>$S$7</f>
        <v>3.108924229193191E-11</v>
      </c>
      <c r="BG72" s="3"/>
      <c r="BH72" s="3"/>
      <c r="BI72" s="65">
        <f t="shared" si="12"/>
        <v>2.0000000000000004</v>
      </c>
      <c r="BJ72" s="3">
        <f t="shared" si="13"/>
        <v>1.0000000000000002</v>
      </c>
      <c r="BK72" s="3">
        <f t="shared" si="14"/>
        <v>1.0000000000000002</v>
      </c>
      <c r="BL72" s="3">
        <f t="shared" si="15"/>
        <v>1.0000000000000002</v>
      </c>
      <c r="BM72" s="3">
        <f>BI72/2</f>
        <v>1.0000000000000002</v>
      </c>
      <c r="BN72" s="3"/>
      <c r="BO72" s="61"/>
    </row>
    <row r="73" spans="44:67" ht="11.25">
      <c r="AR73" s="2" t="s">
        <v>96</v>
      </c>
      <c r="AS73" s="2" t="s">
        <v>93</v>
      </c>
      <c r="AT73" s="95">
        <v>19.8</v>
      </c>
      <c r="AU73" s="4">
        <v>0</v>
      </c>
      <c r="AV73" s="42">
        <f t="shared" si="16"/>
        <v>0</v>
      </c>
      <c r="BB73" s="4" t="s">
        <v>140</v>
      </c>
      <c r="BC73" s="3">
        <f>$L$7</f>
        <v>4.002687070681077E-12</v>
      </c>
      <c r="BD73" s="3">
        <f>$L$8</f>
        <v>0.9999999999867853</v>
      </c>
      <c r="BE73" s="3">
        <f>$K$9</f>
        <v>1</v>
      </c>
      <c r="BF73" s="3"/>
      <c r="BG73" s="3"/>
      <c r="BH73" s="3"/>
      <c r="BI73" s="65">
        <f t="shared" si="12"/>
        <v>1.999999999990788</v>
      </c>
      <c r="BJ73" s="3">
        <f t="shared" si="13"/>
        <v>0.999999999995394</v>
      </c>
      <c r="BK73" s="3">
        <f t="shared" si="14"/>
        <v>0.999999999995394</v>
      </c>
      <c r="BL73" s="3">
        <f t="shared" si="15"/>
        <v>0.999999999995394</v>
      </c>
      <c r="BM73" s="3"/>
      <c r="BN73" s="3"/>
      <c r="BO73" s="61"/>
    </row>
    <row r="74" spans="44:67" ht="11.25">
      <c r="AR74" s="2" t="s">
        <v>5</v>
      </c>
      <c r="AS74" s="2" t="s">
        <v>6</v>
      </c>
      <c r="AT74" s="95">
        <f>77.7-58.6</f>
        <v>19.1</v>
      </c>
      <c r="AU74" s="4">
        <v>0.999999999998893</v>
      </c>
      <c r="AV74" s="42">
        <f t="shared" si="16"/>
        <v>19.09999999997886</v>
      </c>
      <c r="BB74" s="4" t="s">
        <v>142</v>
      </c>
      <c r="BC74" s="3">
        <f>$L$8</f>
        <v>0.9999999999867853</v>
      </c>
      <c r="BD74" s="3">
        <f>$M$7</f>
        <v>1</v>
      </c>
      <c r="BE74" s="3">
        <f>$N$8</f>
        <v>6.6622263260917826E-12</v>
      </c>
      <c r="BF74" s="3">
        <f>$M$9</f>
        <v>4.111488927094342E-12</v>
      </c>
      <c r="BG74" s="3"/>
      <c r="BH74" s="3"/>
      <c r="BI74" s="65">
        <f t="shared" si="12"/>
        <v>1.9999999999975588</v>
      </c>
      <c r="BJ74" s="3">
        <f t="shared" si="13"/>
        <v>0.9999999999987794</v>
      </c>
      <c r="BK74" s="3">
        <f t="shared" si="14"/>
        <v>0.9999999999987794</v>
      </c>
      <c r="BL74" s="3">
        <f t="shared" si="15"/>
        <v>0.9999999999987794</v>
      </c>
      <c r="BM74" s="3">
        <f>BI74/2</f>
        <v>0.9999999999987794</v>
      </c>
      <c r="BN74" s="3"/>
      <c r="BO74" s="61"/>
    </row>
    <row r="75" spans="44:67" ht="11.25">
      <c r="AR75" s="2" t="s">
        <v>131</v>
      </c>
      <c r="AS75" s="2" t="s">
        <v>134</v>
      </c>
      <c r="AT75" s="95">
        <v>18.6</v>
      </c>
      <c r="AU75" s="4">
        <v>0.999999999999999</v>
      </c>
      <c r="AV75" s="42">
        <f t="shared" si="16"/>
        <v>18.599999999999984</v>
      </c>
      <c r="BB75" s="4" t="s">
        <v>141</v>
      </c>
      <c r="BC75" s="3">
        <f>$O$7</f>
        <v>0.9999999999933378</v>
      </c>
      <c r="BD75" s="3">
        <f>$N$8</f>
        <v>6.6622263260917826E-12</v>
      </c>
      <c r="BE75" s="3">
        <f>$N$9</f>
        <v>0.9999999999999999</v>
      </c>
      <c r="BF75" s="3"/>
      <c r="BG75" s="3"/>
      <c r="BH75" s="3"/>
      <c r="BI75" s="65">
        <f t="shared" si="12"/>
        <v>2</v>
      </c>
      <c r="BJ75" s="3">
        <f t="shared" si="13"/>
        <v>1</v>
      </c>
      <c r="BK75" s="3">
        <f t="shared" si="14"/>
        <v>1</v>
      </c>
      <c r="BL75" s="3">
        <f t="shared" si="15"/>
        <v>1</v>
      </c>
      <c r="BM75" s="3"/>
      <c r="BN75" s="3"/>
      <c r="BO75" s="61"/>
    </row>
    <row r="76" spans="44:67" ht="11.25">
      <c r="AR76" s="2" t="s">
        <v>0</v>
      </c>
      <c r="AS76" s="2" t="s">
        <v>132</v>
      </c>
      <c r="AT76" s="95">
        <v>18.2</v>
      </c>
      <c r="AU76" s="4">
        <v>1.0000000000000002</v>
      </c>
      <c r="AV76" s="42">
        <f t="shared" si="16"/>
        <v>18.200000000000003</v>
      </c>
      <c r="BB76" s="4" t="s">
        <v>97</v>
      </c>
      <c r="BC76" s="3">
        <f>$I$11</f>
        <v>4.4408417003765603E-16</v>
      </c>
      <c r="BD76" s="3">
        <f>$L$11</f>
        <v>0.9999999999999992</v>
      </c>
      <c r="BE76" s="3">
        <f>$K$9</f>
        <v>1</v>
      </c>
      <c r="BF76" s="3"/>
      <c r="BG76" s="3"/>
      <c r="BH76" s="3"/>
      <c r="BI76" s="65">
        <f t="shared" si="12"/>
        <v>1.9999999999999996</v>
      </c>
      <c r="BJ76" s="3">
        <f t="shared" si="13"/>
        <v>0.9999999999999998</v>
      </c>
      <c r="BK76" s="3">
        <f t="shared" si="14"/>
        <v>0.9999999999999998</v>
      </c>
      <c r="BL76" s="3">
        <f t="shared" si="15"/>
        <v>0.9999999999999998</v>
      </c>
      <c r="BM76" s="3"/>
      <c r="BN76" s="3"/>
      <c r="BO76" s="61"/>
    </row>
    <row r="77" spans="44:67" ht="11.25">
      <c r="AR77" s="2" t="s">
        <v>45</v>
      </c>
      <c r="AS77" s="2" t="s">
        <v>44</v>
      </c>
      <c r="AT77" s="95">
        <f>27.7-9.5</f>
        <v>18.2</v>
      </c>
      <c r="AU77" s="4">
        <v>-2.434198034887882E-23</v>
      </c>
      <c r="AV77" s="42">
        <f t="shared" si="16"/>
        <v>-4.4302404234959445E-22</v>
      </c>
      <c r="BB77" s="4" t="s">
        <v>136</v>
      </c>
      <c r="BC77" s="3">
        <f>$AL$22</f>
        <v>2.4343769503636054E-15</v>
      </c>
      <c r="BD77" s="3">
        <f>$AM$23</f>
        <v>0.9999999999999981</v>
      </c>
      <c r="BE77" s="3">
        <f>$AN$23</f>
        <v>0.9999999999999996</v>
      </c>
      <c r="BF77" s="3"/>
      <c r="BG77" s="3"/>
      <c r="BH77" s="3"/>
      <c r="BI77" s="65">
        <f t="shared" si="12"/>
        <v>2</v>
      </c>
      <c r="BJ77" s="3">
        <f t="shared" si="13"/>
        <v>1</v>
      </c>
      <c r="BK77" s="3">
        <f t="shared" si="14"/>
        <v>1</v>
      </c>
      <c r="BL77" s="3">
        <f t="shared" si="15"/>
        <v>1</v>
      </c>
      <c r="BM77" s="3"/>
      <c r="BN77" s="3"/>
      <c r="BO77" s="61"/>
    </row>
    <row r="78" spans="44:67" ht="11.25">
      <c r="AR78" s="2" t="s">
        <v>135</v>
      </c>
      <c r="AS78" s="2" t="s">
        <v>133</v>
      </c>
      <c r="AT78" s="95">
        <v>17</v>
      </c>
      <c r="AU78" s="4">
        <v>0.9999999999999993</v>
      </c>
      <c r="AV78" s="42">
        <f t="shared" si="16"/>
        <v>16.99999999999999</v>
      </c>
      <c r="BB78" s="4" t="s">
        <v>138</v>
      </c>
      <c r="BC78" s="3">
        <f>$AN$23</f>
        <v>0.9999999999999996</v>
      </c>
      <c r="BD78" s="3">
        <f>$AN$24</f>
        <v>6.106226809259967E-16</v>
      </c>
      <c r="BE78" s="3">
        <f>$AO$25</f>
        <v>0.9999999999999997</v>
      </c>
      <c r="BF78" s="3"/>
      <c r="BG78" s="3"/>
      <c r="BH78" s="3"/>
      <c r="BI78" s="65">
        <f t="shared" si="12"/>
        <v>2</v>
      </c>
      <c r="BJ78" s="3">
        <f t="shared" si="13"/>
        <v>1</v>
      </c>
      <c r="BK78" s="3">
        <f t="shared" si="14"/>
        <v>1</v>
      </c>
      <c r="BL78" s="3">
        <f t="shared" si="15"/>
        <v>1</v>
      </c>
      <c r="BM78" s="3"/>
      <c r="BN78" s="3"/>
      <c r="BO78" s="61"/>
    </row>
    <row r="79" spans="44:67" ht="11.25">
      <c r="AR79" s="2" t="s">
        <v>144</v>
      </c>
      <c r="AS79" s="2" t="s">
        <v>126</v>
      </c>
      <c r="AT79" s="95">
        <f>649.3-632.8</f>
        <v>16.5</v>
      </c>
      <c r="AU79" s="4">
        <v>0.9999999999800147</v>
      </c>
      <c r="AV79" s="42">
        <f t="shared" si="16"/>
        <v>16.49999999967024</v>
      </c>
      <c r="BB79" s="4" t="s">
        <v>137</v>
      </c>
      <c r="BC79" s="3">
        <f>$AM$23</f>
        <v>0.9999999999999981</v>
      </c>
      <c r="BD79" s="3">
        <f>$AN$24</f>
        <v>6.106226809259967E-16</v>
      </c>
      <c r="BE79" s="3">
        <f>$AM$25</f>
        <v>0.9999999999999988</v>
      </c>
      <c r="BF79" s="3"/>
      <c r="BG79" s="3"/>
      <c r="BH79" s="3"/>
      <c r="BI79" s="65">
        <f t="shared" si="12"/>
        <v>1.9999999999999973</v>
      </c>
      <c r="BJ79" s="3">
        <f t="shared" si="13"/>
        <v>0.9999999999999987</v>
      </c>
      <c r="BK79" s="3">
        <f t="shared" si="14"/>
        <v>0.9999999999999987</v>
      </c>
      <c r="BL79" s="3">
        <f t="shared" si="15"/>
        <v>0.9999999999999987</v>
      </c>
      <c r="BM79" s="3"/>
      <c r="BN79" s="3"/>
      <c r="BO79" s="61"/>
    </row>
    <row r="80" spans="44:67" ht="11.25">
      <c r="AR80" s="2" t="s">
        <v>134</v>
      </c>
      <c r="AS80" s="2" t="s">
        <v>137</v>
      </c>
      <c r="AT80" s="95">
        <f>55.3-39.2</f>
        <v>16.099999999999994</v>
      </c>
      <c r="AU80" s="4">
        <v>0.9999999999999988</v>
      </c>
      <c r="AV80" s="42">
        <f t="shared" si="16"/>
        <v>16.099999999999973</v>
      </c>
      <c r="BB80" s="4" t="s">
        <v>134</v>
      </c>
      <c r="BC80" s="3">
        <f>$AL$26</f>
        <v>0.999999999999999</v>
      </c>
      <c r="BD80" s="3">
        <f>$AM$25</f>
        <v>0.9999999999999988</v>
      </c>
      <c r="BE80" s="3">
        <f>$AM$27</f>
        <v>9.81852222809862E-16</v>
      </c>
      <c r="BF80" s="3"/>
      <c r="BG80" s="3"/>
      <c r="BH80" s="3"/>
      <c r="BI80" s="65">
        <f t="shared" si="12"/>
        <v>1.9999999999999987</v>
      </c>
      <c r="BJ80" s="3">
        <f t="shared" si="13"/>
        <v>0.9999999999999993</v>
      </c>
      <c r="BK80" s="3">
        <f t="shared" si="14"/>
        <v>0.9999999999999993</v>
      </c>
      <c r="BL80" s="3">
        <f t="shared" si="15"/>
        <v>0.9999999999999993</v>
      </c>
      <c r="BM80" s="3"/>
      <c r="BN80" s="3"/>
      <c r="BO80" s="61"/>
    </row>
    <row r="81" spans="44:67" ht="11.25">
      <c r="AR81" s="2" t="s">
        <v>131</v>
      </c>
      <c r="AS81" s="2" t="s">
        <v>130</v>
      </c>
      <c r="AT81" s="95">
        <f>34.4-18.6</f>
        <v>15.799999999999997</v>
      </c>
      <c r="AU81" s="4">
        <v>0.9999999999999996</v>
      </c>
      <c r="AV81" s="42">
        <f t="shared" si="16"/>
        <v>15.79999999999999</v>
      </c>
      <c r="BB81" s="4" t="s">
        <v>135</v>
      </c>
      <c r="BC81" s="3">
        <f>$AM$27</f>
        <v>9.81852222809862E-16</v>
      </c>
      <c r="BD81" s="3">
        <f>$AO$25</f>
        <v>0.9999999999999997</v>
      </c>
      <c r="BE81" s="3">
        <f>$AL$28</f>
        <v>0.9999999999999993</v>
      </c>
      <c r="BF81" s="3"/>
      <c r="BG81" s="3"/>
      <c r="BH81" s="3"/>
      <c r="BI81" s="65">
        <f t="shared" si="12"/>
        <v>2</v>
      </c>
      <c r="BJ81" s="3">
        <f t="shared" si="13"/>
        <v>1</v>
      </c>
      <c r="BK81" s="3">
        <f t="shared" si="14"/>
        <v>1</v>
      </c>
      <c r="BL81" s="3">
        <f t="shared" si="15"/>
        <v>1</v>
      </c>
      <c r="BM81" s="3"/>
      <c r="BN81" s="3"/>
      <c r="BO81" s="61"/>
    </row>
    <row r="82" spans="44:67" ht="11.25">
      <c r="AR82" s="2" t="s">
        <v>146</v>
      </c>
      <c r="AS82" s="2" t="s">
        <v>98</v>
      </c>
      <c r="AT82" s="95">
        <v>15.2</v>
      </c>
      <c r="AU82" s="4">
        <v>0</v>
      </c>
      <c r="AV82" s="42">
        <f t="shared" si="16"/>
        <v>0</v>
      </c>
      <c r="BB82" s="4" t="s">
        <v>27</v>
      </c>
      <c r="BC82" s="3">
        <f>$E$28</f>
        <v>2.1115331705345852E-12</v>
      </c>
      <c r="BD82" s="3">
        <f>$F$30</f>
        <v>1.1101952690403012E-12</v>
      </c>
      <c r="BE82" s="3">
        <f>$D$30</f>
        <v>0</v>
      </c>
      <c r="BF82" s="3"/>
      <c r="BG82" s="3"/>
      <c r="BH82" s="3"/>
      <c r="BI82" s="65">
        <f t="shared" si="12"/>
        <v>3.2217284395748866E-12</v>
      </c>
      <c r="BJ82" s="3">
        <f t="shared" si="13"/>
        <v>1.6108642197874433E-12</v>
      </c>
      <c r="BK82" s="3">
        <f t="shared" si="14"/>
        <v>1.6108642197874433E-12</v>
      </c>
      <c r="BL82" s="3">
        <f t="shared" si="15"/>
        <v>1.6108642197874433E-12</v>
      </c>
      <c r="BM82" s="3"/>
      <c r="BN82" s="3"/>
      <c r="BO82" s="61"/>
    </row>
    <row r="83" spans="44:67" ht="11.25">
      <c r="AR83" s="2" t="s">
        <v>1</v>
      </c>
      <c r="AS83" s="102" t="s">
        <v>209</v>
      </c>
      <c r="AT83" s="101">
        <v>10</v>
      </c>
      <c r="AU83" s="4">
        <v>0</v>
      </c>
      <c r="AV83" s="42">
        <f t="shared" si="16"/>
        <v>0</v>
      </c>
      <c r="AW83" s="18"/>
      <c r="BB83" s="4" t="s">
        <v>150</v>
      </c>
      <c r="BC83" s="11">
        <f>$C$26</f>
        <v>1</v>
      </c>
      <c r="BD83" s="12">
        <f>$E$24</f>
        <v>1</v>
      </c>
      <c r="BE83" s="12">
        <f>$E$28</f>
        <v>2.1115331705345852E-12</v>
      </c>
      <c r="BF83" s="12"/>
      <c r="BG83" s="12"/>
      <c r="BH83" s="12"/>
      <c r="BI83" s="46">
        <f t="shared" si="12"/>
        <v>2.0000000000021116</v>
      </c>
      <c r="BJ83" s="12">
        <f t="shared" si="13"/>
        <v>1.0000000000010558</v>
      </c>
      <c r="BK83" s="12">
        <f t="shared" si="14"/>
        <v>1.0000000000010558</v>
      </c>
      <c r="BL83" s="12">
        <f t="shared" si="15"/>
        <v>1.0000000000010558</v>
      </c>
      <c r="BM83" s="12"/>
      <c r="BN83" s="12"/>
      <c r="BO83" s="62"/>
    </row>
    <row r="84" spans="44:48" ht="11.25">
      <c r="AR84" s="2" t="s">
        <v>124</v>
      </c>
      <c r="AS84" s="2" t="s">
        <v>131</v>
      </c>
      <c r="AT84" s="95">
        <f>71.8-57.5</f>
        <v>14.299999999999997</v>
      </c>
      <c r="AU84" s="4">
        <v>0</v>
      </c>
      <c r="AV84" s="42">
        <f t="shared" si="16"/>
        <v>0</v>
      </c>
    </row>
    <row r="85" spans="44:48" ht="11.25">
      <c r="AR85" s="2" t="s">
        <v>45</v>
      </c>
      <c r="AS85" s="2" t="s">
        <v>79</v>
      </c>
      <c r="AT85" s="95">
        <f>41-27.7</f>
        <v>13.3</v>
      </c>
      <c r="AU85" s="4">
        <v>2.2204460492423633E-15</v>
      </c>
      <c r="AV85" s="42">
        <f t="shared" si="16"/>
        <v>2.953193245492343E-14</v>
      </c>
    </row>
    <row r="86" spans="44:48" ht="11.25">
      <c r="AR86" s="2" t="s">
        <v>137</v>
      </c>
      <c r="AS86" s="2" t="s">
        <v>136</v>
      </c>
      <c r="AT86" s="95">
        <v>13.1</v>
      </c>
      <c r="AU86" s="4">
        <v>0.9999999999999981</v>
      </c>
      <c r="AV86" s="42">
        <f t="shared" si="16"/>
        <v>13.099999999999975</v>
      </c>
    </row>
    <row r="87" spans="44:48" ht="11.25">
      <c r="AR87" s="2" t="s">
        <v>46</v>
      </c>
      <c r="AS87" s="2" t="s">
        <v>45</v>
      </c>
      <c r="AT87" s="95">
        <f>222.1-210.4</f>
        <v>11.699999999999989</v>
      </c>
      <c r="AU87" s="4">
        <v>0.9999999999999978</v>
      </c>
      <c r="AV87" s="42">
        <f t="shared" si="16"/>
        <v>11.699999999999962</v>
      </c>
    </row>
    <row r="88" spans="44:48" ht="11.25">
      <c r="AR88" s="2" t="s">
        <v>1</v>
      </c>
      <c r="AS88" s="2" t="s">
        <v>2</v>
      </c>
      <c r="AT88" s="95">
        <v>11.4</v>
      </c>
      <c r="AU88" s="4">
        <v>0.9999999999999994</v>
      </c>
      <c r="AV88" s="42">
        <f t="shared" si="16"/>
        <v>11.399999999999993</v>
      </c>
    </row>
    <row r="89" spans="44:48" ht="11.25">
      <c r="AR89" s="2" t="s">
        <v>82</v>
      </c>
      <c r="AS89" s="2" t="s">
        <v>95</v>
      </c>
      <c r="AT89" s="95">
        <f>20.1-9.3</f>
        <v>10.8</v>
      </c>
      <c r="AU89" s="4">
        <v>7.771561172389776E-16</v>
      </c>
      <c r="AV89" s="42">
        <f t="shared" si="16"/>
        <v>8.393286066180958E-15</v>
      </c>
    </row>
    <row r="90" spans="44:48" ht="11.25">
      <c r="AR90" s="2" t="s">
        <v>84</v>
      </c>
      <c r="AS90" s="2" t="s">
        <v>86</v>
      </c>
      <c r="AT90" s="95">
        <v>10.6</v>
      </c>
      <c r="AU90" s="4">
        <v>1</v>
      </c>
      <c r="AV90" s="42">
        <f t="shared" si="16"/>
        <v>10.6</v>
      </c>
    </row>
    <row r="91" spans="44:48" ht="11.25">
      <c r="AR91" s="2" t="s">
        <v>94</v>
      </c>
      <c r="AS91" s="2" t="s">
        <v>93</v>
      </c>
      <c r="AT91" s="95">
        <v>10.6</v>
      </c>
      <c r="AU91" s="4">
        <v>0.9999999999934492</v>
      </c>
      <c r="AV91" s="42">
        <f t="shared" si="16"/>
        <v>10.599999999930562</v>
      </c>
    </row>
    <row r="92" spans="44:48" ht="11.25">
      <c r="AR92" s="2" t="s">
        <v>125</v>
      </c>
      <c r="AS92" s="2" t="s">
        <v>124</v>
      </c>
      <c r="AT92" s="95">
        <v>10.6</v>
      </c>
      <c r="AU92" s="4">
        <v>0.9999999999999976</v>
      </c>
      <c r="AV92" s="42">
        <f t="shared" si="16"/>
        <v>10.599999999999973</v>
      </c>
    </row>
    <row r="93" spans="44:48" ht="11.25">
      <c r="AR93" s="2" t="s">
        <v>1</v>
      </c>
      <c r="AS93" s="2" t="s">
        <v>32</v>
      </c>
      <c r="AT93" s="95">
        <v>9.9</v>
      </c>
      <c r="AU93" s="4">
        <v>1</v>
      </c>
      <c r="AV93" s="42">
        <f t="shared" si="16"/>
        <v>9.9</v>
      </c>
    </row>
    <row r="94" spans="44:50" ht="11.25">
      <c r="AR94" s="2" t="s">
        <v>38</v>
      </c>
      <c r="AS94" s="2" t="s">
        <v>42</v>
      </c>
      <c r="AT94" s="95">
        <v>9.9</v>
      </c>
      <c r="AU94" s="4">
        <v>-1.6271735284333972E-27</v>
      </c>
      <c r="AV94" s="42">
        <f t="shared" si="16"/>
        <v>-1.6109017931490633E-26</v>
      </c>
      <c r="AX94" s="10"/>
    </row>
    <row r="95" spans="44:48" ht="11.25">
      <c r="AR95" s="2" t="s">
        <v>122</v>
      </c>
      <c r="AS95" s="2" t="s">
        <v>42</v>
      </c>
      <c r="AT95" s="95">
        <v>9.9</v>
      </c>
      <c r="AU95" s="4">
        <v>0.9999999999999992</v>
      </c>
      <c r="AV95" s="42">
        <f t="shared" si="16"/>
        <v>9.899999999999993</v>
      </c>
    </row>
    <row r="96" spans="44:48" ht="11.25">
      <c r="AR96" s="2" t="s">
        <v>3</v>
      </c>
      <c r="AS96" s="2" t="s">
        <v>36</v>
      </c>
      <c r="AT96" s="95">
        <f>4.1+5.7</f>
        <v>9.8</v>
      </c>
      <c r="AU96" s="4">
        <v>0.9999999999994466</v>
      </c>
      <c r="AV96" s="42">
        <f t="shared" si="16"/>
        <v>9.799999999994577</v>
      </c>
    </row>
    <row r="97" spans="44:48" ht="11.25">
      <c r="AR97" s="2" t="s">
        <v>46</v>
      </c>
      <c r="AS97" s="2" t="s">
        <v>44</v>
      </c>
      <c r="AT97" s="95">
        <v>9.5</v>
      </c>
      <c r="AU97" s="4">
        <v>1</v>
      </c>
      <c r="AV97" s="42">
        <f t="shared" si="16"/>
        <v>9.5</v>
      </c>
    </row>
    <row r="98" spans="44:48" ht="11.25">
      <c r="AR98" s="2" t="s">
        <v>85</v>
      </c>
      <c r="AS98" s="2" t="s">
        <v>84</v>
      </c>
      <c r="AT98" s="95">
        <f>17.1-7.8</f>
        <v>9.3</v>
      </c>
      <c r="AU98" s="4">
        <v>0.9999999999999988</v>
      </c>
      <c r="AV98" s="42">
        <f t="shared" si="16"/>
        <v>9.29999999999999</v>
      </c>
    </row>
    <row r="99" spans="44:48" ht="11.25">
      <c r="AR99" s="2" t="s">
        <v>42</v>
      </c>
      <c r="AS99" s="2" t="s">
        <v>41</v>
      </c>
      <c r="AT99" s="95">
        <f>42.6-33.8</f>
        <v>8.800000000000004</v>
      </c>
      <c r="AU99" s="4">
        <v>5.551115173402854E-16</v>
      </c>
      <c r="AV99" s="42">
        <f t="shared" si="16"/>
        <v>4.884981352594514E-15</v>
      </c>
    </row>
    <row r="100" spans="44:48" ht="11.25">
      <c r="AR100" s="2" t="s">
        <v>140</v>
      </c>
      <c r="AS100" s="2" t="s">
        <v>142</v>
      </c>
      <c r="AT100" s="95">
        <v>8</v>
      </c>
      <c r="AU100" s="4">
        <v>0.9999999999867853</v>
      </c>
      <c r="AV100" s="42">
        <f t="shared" si="16"/>
        <v>7.999999999894283</v>
      </c>
    </row>
    <row r="101" spans="44:48" ht="11.25">
      <c r="AR101" s="2" t="s">
        <v>87</v>
      </c>
      <c r="AS101" s="2" t="s">
        <v>85</v>
      </c>
      <c r="AT101" s="95">
        <v>7.8</v>
      </c>
      <c r="AU101" s="4">
        <v>1.5543122626607523E-15</v>
      </c>
      <c r="AV101" s="42">
        <f t="shared" si="16"/>
        <v>1.2123635648753868E-14</v>
      </c>
    </row>
    <row r="102" spans="44:48" ht="11.25">
      <c r="AR102" s="2" t="s">
        <v>133</v>
      </c>
      <c r="AS102" s="2" t="s">
        <v>132</v>
      </c>
      <c r="AT102" s="95">
        <v>7.8</v>
      </c>
      <c r="AU102" s="4">
        <v>1</v>
      </c>
      <c r="AV102" s="42">
        <f t="shared" si="16"/>
        <v>7.8</v>
      </c>
    </row>
    <row r="103" spans="44:48" ht="11.25">
      <c r="AR103" s="2" t="s">
        <v>38</v>
      </c>
      <c r="AS103" s="2" t="s">
        <v>37</v>
      </c>
      <c r="AT103" s="95">
        <v>7.6</v>
      </c>
      <c r="AU103" s="4">
        <v>0.9999999999999998</v>
      </c>
      <c r="AV103" s="42">
        <f aca="true" t="shared" si="17" ref="AV103:AV134">AT103*AU103</f>
        <v>7.599999999999998</v>
      </c>
    </row>
    <row r="104" spans="44:49" ht="11.25">
      <c r="AR104" s="2" t="s">
        <v>84</v>
      </c>
      <c r="AS104" s="2" t="s">
        <v>120</v>
      </c>
      <c r="AT104" s="94">
        <v>7.6</v>
      </c>
      <c r="AU104" s="4">
        <v>0</v>
      </c>
      <c r="AV104" s="42">
        <f t="shared" si="17"/>
        <v>0</v>
      </c>
      <c r="AW104" s="18" t="s">
        <v>203</v>
      </c>
    </row>
    <row r="105" spans="44:48" ht="11.25">
      <c r="AR105" s="2" t="s">
        <v>87</v>
      </c>
      <c r="AS105" s="2" t="s">
        <v>86</v>
      </c>
      <c r="AT105" s="95">
        <f>33.3-25.9</f>
        <v>7.399999999999999</v>
      </c>
      <c r="AU105" s="4">
        <v>1.831867926585937E-15</v>
      </c>
      <c r="AV105" s="42">
        <f t="shared" si="17"/>
        <v>1.3555822656735931E-14</v>
      </c>
    </row>
    <row r="106" spans="44:48" ht="11.25">
      <c r="AR106" s="2" t="s">
        <v>90</v>
      </c>
      <c r="AS106" s="2" t="s">
        <v>88</v>
      </c>
      <c r="AT106" s="95">
        <v>7.3</v>
      </c>
      <c r="AU106" s="4">
        <v>1.1102230246251565E-16</v>
      </c>
      <c r="AV106" s="42">
        <f t="shared" si="17"/>
        <v>8.104628079763643E-16</v>
      </c>
    </row>
    <row r="107" spans="44:48" ht="11.25">
      <c r="AR107" s="2" t="s">
        <v>128</v>
      </c>
      <c r="AS107" s="2" t="s">
        <v>32</v>
      </c>
      <c r="AT107" s="95">
        <v>7</v>
      </c>
      <c r="AU107" s="4">
        <v>1</v>
      </c>
      <c r="AV107" s="42">
        <f t="shared" si="17"/>
        <v>7</v>
      </c>
    </row>
    <row r="108" spans="44:48" ht="11.25">
      <c r="AR108" s="2" t="s">
        <v>122</v>
      </c>
      <c r="AS108" s="2" t="s">
        <v>38</v>
      </c>
      <c r="AT108" s="95">
        <f>44.4-37.5</f>
        <v>6.899999999999999</v>
      </c>
      <c r="AU108" s="4">
        <v>1</v>
      </c>
      <c r="AV108" s="42">
        <f t="shared" si="17"/>
        <v>6.899999999999999</v>
      </c>
    </row>
    <row r="109" spans="44:48" ht="11.25">
      <c r="AR109" s="2" t="s">
        <v>0</v>
      </c>
      <c r="AS109" s="2" t="s">
        <v>1</v>
      </c>
      <c r="AT109" s="95">
        <v>6.8</v>
      </c>
      <c r="AU109" s="4">
        <v>0</v>
      </c>
      <c r="AV109" s="42">
        <f t="shared" si="17"/>
        <v>0</v>
      </c>
    </row>
    <row r="110" spans="44:48" ht="11.25">
      <c r="AR110" s="2" t="s">
        <v>6</v>
      </c>
      <c r="AS110" s="2" t="s">
        <v>7</v>
      </c>
      <c r="AT110" s="95">
        <f>83.9-77.7</f>
        <v>6.200000000000003</v>
      </c>
      <c r="AU110" s="4">
        <v>1.1070033778799044E-12</v>
      </c>
      <c r="AV110" s="42">
        <f t="shared" si="17"/>
        <v>6.86342094285541E-12</v>
      </c>
    </row>
    <row r="111" spans="44:48" ht="11.25">
      <c r="AR111" s="2" t="s">
        <v>4</v>
      </c>
      <c r="AS111" s="2" t="s">
        <v>40</v>
      </c>
      <c r="AT111" s="95">
        <v>6.1</v>
      </c>
      <c r="AU111" s="4">
        <v>0</v>
      </c>
      <c r="AV111" s="42">
        <f t="shared" si="17"/>
        <v>0</v>
      </c>
    </row>
    <row r="112" spans="44:48" ht="11.25">
      <c r="AR112" s="2" t="s">
        <v>84</v>
      </c>
      <c r="AS112" s="2" t="s">
        <v>35</v>
      </c>
      <c r="AT112" s="95">
        <f>23.2-17.1</f>
        <v>6.099999999999998</v>
      </c>
      <c r="AU112" s="4">
        <v>5.550895619823165E-17</v>
      </c>
      <c r="AV112" s="42">
        <f t="shared" si="17"/>
        <v>3.3860463280921294E-16</v>
      </c>
    </row>
    <row r="113" spans="44:48" ht="11.25">
      <c r="AR113" s="2" t="s">
        <v>131</v>
      </c>
      <c r="AS113" s="2" t="s">
        <v>132</v>
      </c>
      <c r="AT113" s="95">
        <f>95.9-71.8-18.2</f>
        <v>5.900000000000009</v>
      </c>
      <c r="AU113" s="4">
        <v>5.5511151228669414E-17</v>
      </c>
      <c r="AV113" s="42">
        <f t="shared" si="17"/>
        <v>3.2751579224915004E-16</v>
      </c>
    </row>
    <row r="114" spans="44:48" ht="11.25">
      <c r="AR114" s="2" t="s">
        <v>84</v>
      </c>
      <c r="AS114" s="2" t="s">
        <v>34</v>
      </c>
      <c r="AT114" s="95">
        <f>15.3-9.8</f>
        <v>5.5</v>
      </c>
      <c r="AU114" s="4">
        <v>1.1102208974015099E-15</v>
      </c>
      <c r="AV114" s="42">
        <f t="shared" si="17"/>
        <v>6.106214935708304E-15</v>
      </c>
    </row>
    <row r="115" spans="44:50" ht="11.25">
      <c r="AR115" s="2" t="s">
        <v>12</v>
      </c>
      <c r="AS115" s="2" t="s">
        <v>8</v>
      </c>
      <c r="AT115" s="95">
        <v>5.5</v>
      </c>
      <c r="AU115" s="4">
        <v>1.1074474670897886E-12</v>
      </c>
      <c r="AV115" s="42">
        <f t="shared" si="17"/>
        <v>6.0909610689938375E-12</v>
      </c>
      <c r="AX115" s="10"/>
    </row>
    <row r="116" spans="44:48" ht="11.25">
      <c r="AR116" s="2" t="s">
        <v>131</v>
      </c>
      <c r="AS116" s="2" t="s">
        <v>133</v>
      </c>
      <c r="AT116" s="95">
        <v>5.4</v>
      </c>
      <c r="AU116" s="4">
        <v>1.0547118733477738E-15</v>
      </c>
      <c r="AV116" s="42">
        <f t="shared" si="17"/>
        <v>5.695444116077979E-15</v>
      </c>
    </row>
    <row r="117" spans="44:48" ht="11.25">
      <c r="AR117" s="2" t="s">
        <v>3</v>
      </c>
      <c r="AS117" s="2" t="s">
        <v>4</v>
      </c>
      <c r="AT117" s="95">
        <v>5.3</v>
      </c>
      <c r="AU117" s="4">
        <v>1.1076695065069375E-12</v>
      </c>
      <c r="AV117" s="42">
        <f t="shared" si="17"/>
        <v>5.870648384486769E-12</v>
      </c>
    </row>
    <row r="118" spans="44:48" ht="11.25">
      <c r="AR118" s="2" t="s">
        <v>35</v>
      </c>
      <c r="AS118" s="2" t="s">
        <v>34</v>
      </c>
      <c r="AT118" s="95">
        <v>5.2</v>
      </c>
      <c r="AU118" s="4">
        <v>0.9999999999999999</v>
      </c>
      <c r="AV118" s="42">
        <f t="shared" si="17"/>
        <v>5.199999999999999</v>
      </c>
    </row>
    <row r="119" spans="44:48" ht="11.25">
      <c r="AR119" s="2" t="s">
        <v>99</v>
      </c>
      <c r="AS119" s="2" t="s">
        <v>145</v>
      </c>
      <c r="AT119" s="95">
        <v>4.9</v>
      </c>
      <c r="AU119" s="4">
        <v>1.221245333666343E-15</v>
      </c>
      <c r="AV119" s="42">
        <f t="shared" si="17"/>
        <v>5.984102134965081E-15</v>
      </c>
    </row>
    <row r="120" spans="44:48" ht="11.25">
      <c r="AR120" s="2" t="s">
        <v>0</v>
      </c>
      <c r="AS120" s="2" t="s">
        <v>130</v>
      </c>
      <c r="AT120" s="95">
        <v>4.8</v>
      </c>
      <c r="AU120" s="4">
        <v>0.9999999999999989</v>
      </c>
      <c r="AV120" s="42">
        <f t="shared" si="17"/>
        <v>4.7999999999999945</v>
      </c>
    </row>
    <row r="121" spans="44:48" ht="11.25">
      <c r="AR121" s="2" t="s">
        <v>33</v>
      </c>
      <c r="AS121" s="2" t="s">
        <v>34</v>
      </c>
      <c r="AT121" s="95">
        <v>4.8</v>
      </c>
      <c r="AU121" s="4">
        <v>0.9999999999999997</v>
      </c>
      <c r="AV121" s="42">
        <f t="shared" si="17"/>
        <v>4.799999999999998</v>
      </c>
    </row>
    <row r="122" spans="44:48" ht="11.25">
      <c r="AR122" s="2" t="s">
        <v>39</v>
      </c>
      <c r="AS122" s="2" t="s">
        <v>38</v>
      </c>
      <c r="AT122" s="95">
        <v>4.7</v>
      </c>
      <c r="AU122" s="4">
        <v>0</v>
      </c>
      <c r="AV122" s="42">
        <f t="shared" si="17"/>
        <v>0</v>
      </c>
    </row>
    <row r="123" spans="44:48" ht="11.25">
      <c r="AR123" s="2" t="s">
        <v>141</v>
      </c>
      <c r="AS123" s="2" t="s">
        <v>142</v>
      </c>
      <c r="AT123" s="95">
        <v>4.5</v>
      </c>
      <c r="AU123" s="4">
        <v>6.6622263260917826E-12</v>
      </c>
      <c r="AV123" s="42">
        <f t="shared" si="17"/>
        <v>2.998001846741302E-11</v>
      </c>
    </row>
    <row r="124" spans="44:48" ht="11.25">
      <c r="AR124" s="2" t="s">
        <v>88</v>
      </c>
      <c r="AS124" s="2" t="s">
        <v>89</v>
      </c>
      <c r="AT124" s="95">
        <v>4.4</v>
      </c>
      <c r="AU124" s="4">
        <v>4.996005377999831E-16</v>
      </c>
      <c r="AV124" s="42">
        <f t="shared" si="17"/>
        <v>2.1982423663199256E-15</v>
      </c>
    </row>
    <row r="125" spans="44:48" ht="11.25">
      <c r="AR125" s="2" t="s">
        <v>39</v>
      </c>
      <c r="AS125" s="2" t="s">
        <v>37</v>
      </c>
      <c r="AT125" s="95">
        <v>3.9</v>
      </c>
      <c r="AU125" s="4">
        <v>2.22044701543723E-16</v>
      </c>
      <c r="AV125" s="42">
        <f t="shared" si="17"/>
        <v>8.659743360205196E-16</v>
      </c>
    </row>
    <row r="126" spans="44:48" ht="11.25">
      <c r="AR126" s="2" t="s">
        <v>120</v>
      </c>
      <c r="AS126" s="2" t="s">
        <v>129</v>
      </c>
      <c r="AT126" s="95">
        <v>3.8</v>
      </c>
      <c r="AU126" s="4">
        <v>0.9999999999999982</v>
      </c>
      <c r="AV126" s="42">
        <f t="shared" si="17"/>
        <v>3.799999999999993</v>
      </c>
    </row>
    <row r="127" spans="44:48" ht="11.25">
      <c r="AR127" s="2" t="s">
        <v>134</v>
      </c>
      <c r="AS127" s="2" t="s">
        <v>135</v>
      </c>
      <c r="AT127" s="95">
        <v>3.8</v>
      </c>
      <c r="AU127" s="4">
        <v>9.81852222809862E-16</v>
      </c>
      <c r="AV127" s="42">
        <f t="shared" si="17"/>
        <v>3.731038446677475E-15</v>
      </c>
    </row>
    <row r="128" spans="44:48" ht="11.25">
      <c r="AR128" s="2" t="s">
        <v>2</v>
      </c>
      <c r="AS128" s="2" t="s">
        <v>3</v>
      </c>
      <c r="AT128" s="95">
        <v>3.5</v>
      </c>
      <c r="AU128" s="4">
        <v>2.7755575616631595E-16</v>
      </c>
      <c r="AV128" s="42">
        <f t="shared" si="17"/>
        <v>9.714451465821058E-16</v>
      </c>
    </row>
    <row r="129" spans="44:48" ht="11.25">
      <c r="AR129" s="2" t="s">
        <v>129</v>
      </c>
      <c r="AS129" s="2" t="s">
        <v>130</v>
      </c>
      <c r="AT129" s="95">
        <v>3.4</v>
      </c>
      <c r="AU129" s="4">
        <v>1.693091239385E-15</v>
      </c>
      <c r="AV129" s="42">
        <f t="shared" si="17"/>
        <v>5.756510213909E-15</v>
      </c>
    </row>
    <row r="130" spans="44:48" ht="11.25">
      <c r="AR130" s="2" t="s">
        <v>143</v>
      </c>
      <c r="AS130" s="2" t="s">
        <v>96</v>
      </c>
      <c r="AT130" s="95">
        <v>3</v>
      </c>
      <c r="AU130" s="4">
        <v>0.9999999999934478</v>
      </c>
      <c r="AV130" s="42">
        <f t="shared" si="17"/>
        <v>2.9999999999803433</v>
      </c>
    </row>
    <row r="131" spans="44:48" ht="11.25">
      <c r="AR131" s="2" t="s">
        <v>85</v>
      </c>
      <c r="AS131" s="2" t="s">
        <v>86</v>
      </c>
      <c r="AT131" s="95">
        <v>1.9</v>
      </c>
      <c r="AU131" s="4">
        <v>0</v>
      </c>
      <c r="AV131" s="42">
        <f t="shared" si="17"/>
        <v>0</v>
      </c>
    </row>
    <row r="132" spans="44:48" ht="11.25">
      <c r="AR132" s="2" t="s">
        <v>2</v>
      </c>
      <c r="AS132" s="2" t="s">
        <v>36</v>
      </c>
      <c r="AT132" s="95">
        <v>1.7</v>
      </c>
      <c r="AU132" s="4">
        <v>1</v>
      </c>
      <c r="AV132" s="42">
        <f t="shared" si="17"/>
        <v>1.7</v>
      </c>
    </row>
    <row r="133" spans="44:48" ht="11.25">
      <c r="AR133" s="2" t="s">
        <v>35</v>
      </c>
      <c r="AS133" s="2" t="s">
        <v>120</v>
      </c>
      <c r="AT133" s="95">
        <v>1.3</v>
      </c>
      <c r="AU133" s="4">
        <v>1</v>
      </c>
      <c r="AV133" s="42">
        <f t="shared" si="17"/>
        <v>1.3</v>
      </c>
    </row>
    <row r="134" spans="44:48" ht="11.25">
      <c r="AR134" s="2" t="s">
        <v>127</v>
      </c>
      <c r="AS134" s="2" t="s">
        <v>0</v>
      </c>
      <c r="AT134" s="95">
        <v>1.3</v>
      </c>
      <c r="AU134" s="4">
        <v>5.273570634776946E-16</v>
      </c>
      <c r="AV134" s="42">
        <f t="shared" si="17"/>
        <v>6.85564182521003E-16</v>
      </c>
    </row>
    <row r="135" spans="44:48" ht="11.25">
      <c r="AR135" s="2" t="s">
        <v>127</v>
      </c>
      <c r="AS135" s="2" t="s">
        <v>128</v>
      </c>
      <c r="AT135" s="95">
        <v>1.3</v>
      </c>
      <c r="AU135" s="4">
        <v>0.9999999999999997</v>
      </c>
      <c r="AV135" s="42">
        <f aca="true" t="shared" si="18" ref="AV135:AV141">AT135*AU135</f>
        <v>1.2999999999999996</v>
      </c>
    </row>
    <row r="136" spans="44:48" ht="11.25">
      <c r="AR136" s="2" t="s">
        <v>129</v>
      </c>
      <c r="AS136" s="2" t="s">
        <v>128</v>
      </c>
      <c r="AT136" s="95">
        <v>0.9</v>
      </c>
      <c r="AU136" s="4">
        <v>0</v>
      </c>
      <c r="AV136" s="42">
        <f t="shared" si="18"/>
        <v>0</v>
      </c>
    </row>
    <row r="137" spans="44:48" ht="11.25">
      <c r="AR137" s="2" t="s">
        <v>129</v>
      </c>
      <c r="AS137" s="2" t="s">
        <v>127</v>
      </c>
      <c r="AT137" s="95">
        <v>0.7</v>
      </c>
      <c r="AU137" s="4">
        <v>0.9999999999999998</v>
      </c>
      <c r="AV137" s="42">
        <f t="shared" si="18"/>
        <v>0.6999999999999998</v>
      </c>
    </row>
    <row r="138" spans="44:48" ht="12" thickBot="1">
      <c r="AR138" s="45" t="s">
        <v>32</v>
      </c>
      <c r="AS138" s="45" t="s">
        <v>33</v>
      </c>
      <c r="AT138" s="96">
        <v>0.7</v>
      </c>
      <c r="AU138" s="76">
        <v>1.1102230246168291E-16</v>
      </c>
      <c r="AV138" s="75">
        <f t="shared" si="18"/>
        <v>7.771561172317803E-17</v>
      </c>
    </row>
    <row r="139" spans="44:48" ht="11.25">
      <c r="AR139" s="49" t="s">
        <v>27</v>
      </c>
      <c r="AS139" s="50" t="s">
        <v>10</v>
      </c>
      <c r="AT139" s="97">
        <v>3.3</v>
      </c>
      <c r="AU139" s="50">
        <v>0</v>
      </c>
      <c r="AV139" s="51">
        <f t="shared" si="18"/>
        <v>0</v>
      </c>
    </row>
    <row r="140" spans="44:48" ht="11.25">
      <c r="AR140" s="52" t="s">
        <v>150</v>
      </c>
      <c r="AS140" s="2" t="s">
        <v>151</v>
      </c>
      <c r="AT140" s="95">
        <v>17.8</v>
      </c>
      <c r="AU140" s="2">
        <v>1</v>
      </c>
      <c r="AV140" s="53">
        <f t="shared" si="18"/>
        <v>17.8</v>
      </c>
    </row>
    <row r="141" spans="44:48" ht="12" thickBot="1">
      <c r="AR141" s="54" t="s">
        <v>48</v>
      </c>
      <c r="AS141" s="55" t="s">
        <v>80</v>
      </c>
      <c r="AT141" s="98">
        <v>79</v>
      </c>
      <c r="AU141" s="55">
        <v>0</v>
      </c>
      <c r="AV141" s="56">
        <f t="shared" si="18"/>
        <v>0</v>
      </c>
    </row>
    <row r="142" spans="44:45" ht="11.25">
      <c r="AR142" s="3"/>
      <c r="AS142" s="3"/>
    </row>
    <row r="143" spans="47:48" ht="11.25">
      <c r="AU143" s="2" t="s">
        <v>216</v>
      </c>
      <c r="AV143" s="42">
        <f>SUM(AV5:AV138)</f>
        <v>3394.799999999683</v>
      </c>
    </row>
    <row r="145" spans="47:48" ht="11.25">
      <c r="AU145" s="115" t="s">
        <v>217</v>
      </c>
      <c r="AV145" s="42">
        <f>SUM(AV2:AV141)</f>
        <v>3546.2999999996837</v>
      </c>
    </row>
    <row r="146" spans="46:47" ht="11.25">
      <c r="AT146" s="1"/>
      <c r="AU146" s="21"/>
    </row>
    <row r="147" spans="46:47" ht="11.25">
      <c r="AT147" s="1"/>
      <c r="AU147" s="21"/>
    </row>
    <row r="148" spans="46:47" ht="11.25">
      <c r="AT148" s="1"/>
      <c r="AU148" s="21"/>
    </row>
    <row r="149" spans="46:47" ht="11.25">
      <c r="AT149" s="1"/>
      <c r="AU149" s="21"/>
    </row>
    <row r="150" spans="46:47" ht="11.25">
      <c r="AT150" s="1"/>
      <c r="AU150" s="21"/>
    </row>
    <row r="151" spans="46:47" ht="11.25">
      <c r="AT151" s="1"/>
      <c r="AU151" s="21"/>
    </row>
    <row r="152" spans="46:48" ht="11.25">
      <c r="AT152" s="1"/>
      <c r="AV152" s="1"/>
    </row>
    <row r="153" spans="46:48" ht="11.25">
      <c r="AT153" s="1"/>
      <c r="AV153" s="1"/>
    </row>
    <row r="154" spans="46:48" ht="11.25">
      <c r="AT154" s="1"/>
      <c r="AV154" s="1"/>
    </row>
    <row r="155" spans="46:48" ht="11.25">
      <c r="AT155" s="1"/>
      <c r="AV155" s="1"/>
    </row>
    <row r="156" spans="46:48" ht="11.25">
      <c r="AT156" s="1"/>
      <c r="AV156" s="1"/>
    </row>
    <row r="157" spans="46:48" ht="11.25">
      <c r="AT157" s="1"/>
      <c r="AV157" s="1"/>
    </row>
    <row r="158" spans="46:48" ht="11.25">
      <c r="AT158" s="1"/>
      <c r="AV158" s="1"/>
    </row>
    <row r="159" spans="46:48" ht="11.25">
      <c r="AT159" s="1"/>
      <c r="AV159" s="1"/>
    </row>
    <row r="160" spans="46:48" ht="11.25">
      <c r="AT160" s="1"/>
      <c r="AV160" s="1"/>
    </row>
    <row r="161" spans="46:48" ht="11.25">
      <c r="AT161" s="1"/>
      <c r="AV161" s="1"/>
    </row>
    <row r="162" spans="46:48" ht="11.25">
      <c r="AT162" s="1"/>
      <c r="AV162" s="1"/>
    </row>
    <row r="163" spans="46:48" ht="11.25">
      <c r="AT163" s="1"/>
      <c r="AV163" s="1"/>
    </row>
    <row r="164" spans="46:48" ht="11.25">
      <c r="AT164" s="1"/>
      <c r="AV164" s="1"/>
    </row>
    <row r="165" spans="46:48" ht="11.25">
      <c r="AT165" s="1"/>
      <c r="AV165" s="1"/>
    </row>
    <row r="166" spans="46:48" ht="11.25">
      <c r="AT166" s="1"/>
      <c r="AV166" s="1"/>
    </row>
    <row r="167" spans="46:48" ht="11.25">
      <c r="AT167" s="1"/>
      <c r="AV167" s="1"/>
    </row>
    <row r="168" spans="46:48" ht="11.25">
      <c r="AT168" s="1"/>
      <c r="AV168" s="1"/>
    </row>
    <row r="169" spans="46:48" ht="11.25">
      <c r="AT169" s="1"/>
      <c r="AV169" s="1"/>
    </row>
    <row r="170" spans="46:48" ht="11.25">
      <c r="AT170" s="1"/>
      <c r="AV170" s="1"/>
    </row>
    <row r="171" spans="46:48" ht="11.25">
      <c r="AT171" s="1"/>
      <c r="AV171" s="1"/>
    </row>
    <row r="172" spans="46:48" ht="11.25">
      <c r="AT172" s="1"/>
      <c r="AV172" s="1"/>
    </row>
    <row r="173" spans="46:48" ht="11.25">
      <c r="AT173" s="1"/>
      <c r="AV173" s="1"/>
    </row>
    <row r="174" spans="46:48" ht="11.25">
      <c r="AT174" s="1"/>
      <c r="AV174" s="1"/>
    </row>
    <row r="175" spans="46:48" ht="11.25">
      <c r="AT175" s="1"/>
      <c r="AV175" s="1"/>
    </row>
    <row r="176" spans="46:48" ht="11.25">
      <c r="AT176" s="1"/>
      <c r="AV176" s="1"/>
    </row>
    <row r="177" spans="46:48" ht="11.25">
      <c r="AT177" s="1"/>
      <c r="AV177" s="1"/>
    </row>
    <row r="178" spans="46:48" ht="11.25">
      <c r="AT178" s="1"/>
      <c r="AV178" s="1"/>
    </row>
    <row r="179" spans="46:48" ht="11.25">
      <c r="AT179" s="1"/>
      <c r="AV179" s="1"/>
    </row>
    <row r="180" spans="46:48" ht="11.25">
      <c r="AT180" s="1"/>
      <c r="AV180" s="1"/>
    </row>
    <row r="181" spans="46:48" ht="11.25">
      <c r="AT181" s="1"/>
      <c r="AV181" s="1"/>
    </row>
    <row r="182" spans="46:48" ht="11.25">
      <c r="AT182" s="1"/>
      <c r="AV182" s="1"/>
    </row>
    <row r="183" spans="46:48" ht="11.25">
      <c r="AT183" s="1"/>
      <c r="AV183" s="1"/>
    </row>
    <row r="184" spans="46:48" ht="11.25">
      <c r="AT184" s="1"/>
      <c r="AV184" s="1"/>
    </row>
    <row r="185" spans="46:48" ht="11.25">
      <c r="AT185" s="1"/>
      <c r="AV185" s="1"/>
    </row>
    <row r="186" spans="46:48" ht="11.25">
      <c r="AT186" s="1"/>
      <c r="AV186" s="1"/>
    </row>
    <row r="187" spans="46:48" ht="11.25">
      <c r="AT187" s="1"/>
      <c r="AV187" s="1"/>
    </row>
    <row r="188" spans="46:48" ht="11.25">
      <c r="AT188" s="1"/>
      <c r="AV188" s="1"/>
    </row>
    <row r="189" spans="46:48" ht="11.25">
      <c r="AT189" s="1"/>
      <c r="AV189" s="1"/>
    </row>
    <row r="190" spans="46:48" ht="11.25">
      <c r="AT190" s="1"/>
      <c r="AV190" s="1"/>
    </row>
    <row r="191" spans="46:48" ht="11.25">
      <c r="AT191" s="1"/>
      <c r="AV191" s="1"/>
    </row>
    <row r="192" spans="46:48" ht="11.25">
      <c r="AT192" s="1"/>
      <c r="AV192" s="1"/>
    </row>
    <row r="193" spans="46:48" ht="11.25">
      <c r="AT193" s="1"/>
      <c r="AV193" s="1"/>
    </row>
    <row r="194" spans="46:48" ht="11.25">
      <c r="AT194" s="1"/>
      <c r="AV194" s="1"/>
    </row>
    <row r="195" spans="46:48" ht="11.25">
      <c r="AT195" s="1"/>
      <c r="AV195" s="1"/>
    </row>
    <row r="196" spans="46:48" ht="11.25">
      <c r="AT196" s="1"/>
      <c r="AV196" s="1"/>
    </row>
    <row r="197" spans="46:48" ht="11.25">
      <c r="AT197" s="1"/>
      <c r="AV197" s="1"/>
    </row>
    <row r="198" spans="46:48" ht="11.25">
      <c r="AT198" s="1"/>
      <c r="AV198" s="1"/>
    </row>
    <row r="199" spans="46:48" ht="11.25">
      <c r="AT199" s="1"/>
      <c r="AV199" s="1"/>
    </row>
    <row r="200" spans="46:48" ht="11.25">
      <c r="AT200" s="1"/>
      <c r="AV200" s="1"/>
    </row>
    <row r="201" spans="46:48" ht="11.25">
      <c r="AT201" s="1"/>
      <c r="AV201" s="1"/>
    </row>
    <row r="202" spans="46:48" ht="11.25">
      <c r="AT202" s="1"/>
      <c r="AV202" s="1"/>
    </row>
    <row r="203" spans="46:48" ht="11.25">
      <c r="AT203" s="1"/>
      <c r="AV203" s="1"/>
    </row>
    <row r="204" spans="46:48" ht="11.25">
      <c r="AT204" s="1"/>
      <c r="AV204" s="1"/>
    </row>
    <row r="205" spans="46:48" ht="11.25">
      <c r="AT205" s="1"/>
      <c r="AV205" s="1"/>
    </row>
    <row r="206" spans="46:48" ht="11.25">
      <c r="AT206" s="1"/>
      <c r="AV206" s="1"/>
    </row>
    <row r="207" spans="46:48" ht="11.25">
      <c r="AT207" s="1"/>
      <c r="AV207" s="1"/>
    </row>
    <row r="208" spans="46:48" ht="11.25">
      <c r="AT208" s="1"/>
      <c r="AV208" s="1"/>
    </row>
    <row r="209" spans="46:48" ht="11.25">
      <c r="AT209" s="1"/>
      <c r="AV209" s="1"/>
    </row>
    <row r="210" spans="46:48" ht="11.25">
      <c r="AT210" s="1"/>
      <c r="AV210" s="1"/>
    </row>
    <row r="211" spans="46:48" ht="11.25">
      <c r="AT211" s="1"/>
      <c r="AV211" s="1"/>
    </row>
    <row r="212" spans="46:48" ht="11.25">
      <c r="AT212" s="1"/>
      <c r="AV212" s="1"/>
    </row>
    <row r="213" spans="46:48" ht="11.25">
      <c r="AT213" s="1"/>
      <c r="AV213" s="1"/>
    </row>
    <row r="214" spans="46:48" ht="11.25">
      <c r="AT214" s="1"/>
      <c r="AV214" s="1"/>
    </row>
    <row r="215" spans="46:48" ht="11.25">
      <c r="AT215" s="1"/>
      <c r="AV215" s="1"/>
    </row>
    <row r="216" spans="46:48" ht="11.25">
      <c r="AT216" s="1"/>
      <c r="AV216" s="1"/>
    </row>
    <row r="217" spans="46:48" ht="11.25">
      <c r="AT217" s="1"/>
      <c r="AV217" s="1"/>
    </row>
    <row r="218" spans="46:48" ht="11.25">
      <c r="AT218" s="1"/>
      <c r="AV218" s="1"/>
    </row>
    <row r="219" spans="46:48" ht="11.25">
      <c r="AT219" s="1"/>
      <c r="AV219" s="1"/>
    </row>
    <row r="220" spans="46:48" ht="11.25">
      <c r="AT220" s="1"/>
      <c r="AV220" s="1"/>
    </row>
    <row r="221" spans="46:48" ht="11.25">
      <c r="AT221" s="1"/>
      <c r="AV221" s="1"/>
    </row>
    <row r="222" spans="46:48" ht="11.25">
      <c r="AT222" s="1"/>
      <c r="AV222" s="1"/>
    </row>
    <row r="223" spans="46:48" ht="11.25">
      <c r="AT223" s="1"/>
      <c r="AV223" s="1"/>
    </row>
    <row r="224" spans="46:48" ht="11.25">
      <c r="AT224" s="1"/>
      <c r="AV224" s="1"/>
    </row>
    <row r="225" spans="46:48" ht="11.25">
      <c r="AT225" s="1"/>
      <c r="AV225" s="1"/>
    </row>
    <row r="226" spans="46:48" ht="11.25">
      <c r="AT226" s="1"/>
      <c r="AV226" s="1"/>
    </row>
    <row r="227" spans="46:48" ht="11.25">
      <c r="AT227" s="1"/>
      <c r="AV227" s="1"/>
    </row>
    <row r="228" spans="46:48" ht="11.25">
      <c r="AT228" s="1"/>
      <c r="AV228" s="1"/>
    </row>
    <row r="229" spans="46:48" ht="11.25">
      <c r="AT229" s="1"/>
      <c r="AV229" s="1"/>
    </row>
    <row r="230" spans="46:48" ht="11.25">
      <c r="AT230" s="1"/>
      <c r="AV230" s="1"/>
    </row>
    <row r="231" spans="46:48" ht="11.25">
      <c r="AT231" s="1"/>
      <c r="AV231" s="1"/>
    </row>
    <row r="232" spans="46:48" ht="11.25">
      <c r="AT232" s="1"/>
      <c r="AV232" s="1"/>
    </row>
    <row r="233" spans="46:48" ht="11.25">
      <c r="AT233" s="1"/>
      <c r="AV233" s="1"/>
    </row>
    <row r="234" spans="46:48" ht="11.25">
      <c r="AT234" s="1"/>
      <c r="AV234" s="1"/>
    </row>
    <row r="235" spans="46:48" ht="11.25">
      <c r="AT235" s="1"/>
      <c r="AV235" s="1"/>
    </row>
    <row r="236" spans="46:48" ht="11.25">
      <c r="AT236" s="1"/>
      <c r="AV236" s="1"/>
    </row>
    <row r="237" spans="46:48" ht="11.25">
      <c r="AT237" s="1"/>
      <c r="AV237" s="1"/>
    </row>
    <row r="238" spans="46:48" ht="11.25">
      <c r="AT238" s="1"/>
      <c r="AV238" s="1"/>
    </row>
    <row r="239" spans="46:48" ht="11.25">
      <c r="AT239" s="1"/>
      <c r="AV239" s="1"/>
    </row>
    <row r="240" spans="46:48" ht="11.25">
      <c r="AT240" s="1"/>
      <c r="AV240" s="1"/>
    </row>
    <row r="241" spans="46:48" ht="11.25">
      <c r="AT241" s="1"/>
      <c r="AV241" s="1"/>
    </row>
    <row r="242" spans="46:48" ht="11.25">
      <c r="AT242" s="1"/>
      <c r="AV242" s="1"/>
    </row>
    <row r="243" spans="46:48" ht="11.25">
      <c r="AT243" s="1"/>
      <c r="AV243" s="1"/>
    </row>
    <row r="244" spans="46:48" ht="11.25">
      <c r="AT244" s="1"/>
      <c r="AV244" s="1"/>
    </row>
    <row r="245" spans="46:48" ht="11.25">
      <c r="AT245" s="1"/>
      <c r="AV245" s="1"/>
    </row>
    <row r="246" spans="46:48" ht="11.25">
      <c r="AT246" s="1"/>
      <c r="AV246" s="1"/>
    </row>
    <row r="247" spans="46:48" ht="11.25">
      <c r="AT247" s="1"/>
      <c r="AV247" s="1"/>
    </row>
    <row r="248" spans="46:48" ht="11.25">
      <c r="AT248" s="1"/>
      <c r="AV248" s="1"/>
    </row>
    <row r="249" spans="46:48" ht="11.25">
      <c r="AT249" s="1"/>
      <c r="AV249" s="1"/>
    </row>
    <row r="250" spans="46:48" ht="11.25">
      <c r="AT250" s="1"/>
      <c r="AV250" s="1"/>
    </row>
    <row r="251" spans="46:48" ht="11.25">
      <c r="AT251" s="1"/>
      <c r="AV251" s="1"/>
    </row>
    <row r="252" spans="46:48" ht="11.25">
      <c r="AT252" s="1"/>
      <c r="AV252" s="1"/>
    </row>
    <row r="253" spans="46:48" ht="11.25">
      <c r="AT253" s="1"/>
      <c r="AV253" s="1"/>
    </row>
    <row r="254" spans="46:48" ht="11.25">
      <c r="AT254" s="1"/>
      <c r="AV254" s="1"/>
    </row>
    <row r="255" spans="46:48" ht="11.25">
      <c r="AT255" s="1"/>
      <c r="AV255" s="1"/>
    </row>
    <row r="256" spans="46:48" ht="11.25">
      <c r="AT256" s="1"/>
      <c r="AV256" s="1"/>
    </row>
    <row r="257" spans="46:48" ht="11.25">
      <c r="AT257" s="1"/>
      <c r="AV257" s="1"/>
    </row>
    <row r="258" spans="46:48" ht="11.25">
      <c r="AT258" s="1"/>
      <c r="AV258" s="1"/>
    </row>
    <row r="259" spans="46:48" ht="11.25">
      <c r="AT259" s="1"/>
      <c r="AV259" s="1"/>
    </row>
    <row r="260" spans="46:48" ht="11.25">
      <c r="AT260" s="1"/>
      <c r="AV260" s="1"/>
    </row>
    <row r="261" spans="46:48" ht="11.25">
      <c r="AT261" s="1"/>
      <c r="AV261" s="1"/>
    </row>
    <row r="262" spans="46:48" ht="11.25">
      <c r="AT262" s="1"/>
      <c r="AV262" s="1"/>
    </row>
    <row r="263" spans="46:48" ht="11.25">
      <c r="AT263" s="1"/>
      <c r="AV263" s="1"/>
    </row>
    <row r="264" spans="46:48" ht="11.25">
      <c r="AT264" s="1"/>
      <c r="AV264" s="1"/>
    </row>
    <row r="265" spans="46:48" ht="11.25">
      <c r="AT265" s="1"/>
      <c r="AV265" s="1"/>
    </row>
    <row r="266" spans="46:48" ht="11.25">
      <c r="AT266" s="1"/>
      <c r="AV266" s="1"/>
    </row>
    <row r="267" spans="46:48" ht="11.25">
      <c r="AT267" s="1"/>
      <c r="AV267" s="1"/>
    </row>
    <row r="268" spans="46:48" ht="11.25">
      <c r="AT268" s="1"/>
      <c r="AV268" s="1"/>
    </row>
    <row r="269" spans="46:48" ht="11.25">
      <c r="AT269" s="1"/>
      <c r="AV269" s="1"/>
    </row>
    <row r="270" spans="46:48" ht="11.25">
      <c r="AT270" s="1"/>
      <c r="AV270" s="1"/>
    </row>
    <row r="271" spans="46:48" ht="11.25">
      <c r="AT271" s="1"/>
      <c r="AV271" s="1"/>
    </row>
    <row r="272" spans="46:48" ht="11.25">
      <c r="AT272" s="1"/>
      <c r="AV272" s="1"/>
    </row>
    <row r="273" spans="46:48" ht="11.25">
      <c r="AT273" s="1"/>
      <c r="AV273" s="1"/>
    </row>
    <row r="274" spans="46:48" ht="11.25">
      <c r="AT274" s="1"/>
      <c r="AV274" s="1"/>
    </row>
    <row r="275" spans="46:48" ht="11.25">
      <c r="AT275" s="1"/>
      <c r="AV275" s="1"/>
    </row>
    <row r="276" spans="46:48" ht="11.25">
      <c r="AT276" s="1"/>
      <c r="AV276" s="1"/>
    </row>
    <row r="277" spans="46:48" ht="11.25">
      <c r="AT277" s="1"/>
      <c r="AV277" s="1"/>
    </row>
  </sheetData>
  <sheetProtection/>
  <mergeCells count="2">
    <mergeCell ref="W35:X35"/>
    <mergeCell ref="AB35:AC35"/>
  </mergeCells>
  <printOptions/>
  <pageMargins left="0.787" right="0.787" top="0.984" bottom="0.984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2001-12-12T07:54:17Z</cp:lastPrinted>
  <dcterms:created xsi:type="dcterms:W3CDTF">2001-09-25T01:34:44Z</dcterms:created>
  <dcterms:modified xsi:type="dcterms:W3CDTF">2011-01-24T15:10:24Z</dcterms:modified>
  <cp:category/>
  <cp:version/>
  <cp:contentType/>
  <cp:contentStatus/>
</cp:coreProperties>
</file>